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69.1\belarp\PER\Quêtes de BE Larp\Camionnette\"/>
    </mc:Choice>
  </mc:AlternateContent>
  <workbookProtection workbookAlgorithmName="SHA-512" workbookHashValue="w74QtsysIasB7mz/VZDpiMY1zrwEgL/JTvlhIkQRyqhTiVL3ykI6WlsB54MpitTLhUV7mfL36sxE/14OD/pXdw==" workbookSaltValue="cTgJpBt+Rvp2KwblHvn7Bg==" workbookSpinCount="100000" lockStructure="1"/>
  <bookViews>
    <workbookView xWindow="0" yWindow="0" windowWidth="20490" windowHeight="7755"/>
  </bookViews>
  <sheets>
    <sheet name="Formulaire" sheetId="8" r:id="rId1"/>
    <sheet name="Data" sheetId="1" state="hidden" r:id="rId2"/>
    <sheet name="Options" sheetId="6" state="hidden" r:id="rId3"/>
  </sheets>
  <definedNames>
    <definedName name="_xlnm._FilterDatabase" localSheetId="1" hidden="1">Data!$A$8:$AS$13</definedName>
    <definedName name="_xlnm.Print_Area" localSheetId="0">Formulaire!$A$1:$D$29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0" i="1" l="1"/>
  <c r="AB11" i="1"/>
  <c r="AB12" i="1"/>
  <c r="AB13" i="1"/>
  <c r="AB14" i="1"/>
  <c r="AB15" i="1"/>
  <c r="AB16" i="1"/>
  <c r="AB17" i="1"/>
  <c r="AB9" i="1"/>
  <c r="C4" i="8" l="1"/>
  <c r="F9" i="1"/>
  <c r="F15" i="1" l="1"/>
  <c r="F16" i="1"/>
  <c r="F17" i="1"/>
  <c r="F14" i="1"/>
  <c r="AK13" i="1" l="1"/>
  <c r="AK14" i="1"/>
  <c r="AK15" i="1"/>
  <c r="AK16" i="1"/>
  <c r="AK17" i="1"/>
  <c r="AK9" i="1"/>
  <c r="B5" i="8"/>
  <c r="B4" i="8"/>
  <c r="R9" i="1"/>
  <c r="S9" i="1" s="1"/>
  <c r="T9" i="1" s="1"/>
  <c r="U10" i="1"/>
  <c r="U11" i="1"/>
  <c r="AL11" i="1" s="1"/>
  <c r="U12" i="1"/>
  <c r="U13" i="1"/>
  <c r="U14" i="1"/>
  <c r="U15" i="1"/>
  <c r="U16" i="1"/>
  <c r="U17" i="1"/>
  <c r="U9" i="1"/>
  <c r="C7" i="8" s="1"/>
  <c r="F10" i="1"/>
  <c r="F11" i="1"/>
  <c r="F12" i="1"/>
  <c r="F13" i="1"/>
  <c r="E16" i="1"/>
  <c r="E9" i="1"/>
  <c r="H17" i="1"/>
  <c r="H16" i="1"/>
  <c r="H15" i="1"/>
  <c r="H14" i="1"/>
  <c r="H13" i="1"/>
  <c r="H12" i="1"/>
  <c r="H11" i="1"/>
  <c r="H10" i="1"/>
  <c r="H9" i="1"/>
  <c r="AU13" i="1"/>
  <c r="AK11" i="1" l="1"/>
  <c r="AK12" i="1"/>
  <c r="E12" i="1"/>
  <c r="E15" i="1"/>
  <c r="AM15" i="1" s="1"/>
  <c r="E11" i="1"/>
  <c r="E14" i="1"/>
  <c r="AM14" i="1" s="1"/>
  <c r="E10" i="1"/>
  <c r="E17" i="1"/>
  <c r="AM17" i="1" s="1"/>
  <c r="E13" i="1"/>
  <c r="AP10" i="1"/>
  <c r="AP11" i="1"/>
  <c r="AP12" i="1"/>
  <c r="AP13" i="1"/>
  <c r="AP14" i="1"/>
  <c r="AP15" i="1"/>
  <c r="AP16" i="1"/>
  <c r="AP17" i="1"/>
  <c r="AP9" i="1"/>
  <c r="B33" i="6"/>
  <c r="B32" i="6"/>
  <c r="B31" i="6"/>
  <c r="B30" i="6"/>
  <c r="B29" i="6"/>
  <c r="B28" i="6"/>
  <c r="A33" i="6"/>
  <c r="A32" i="6"/>
  <c r="A31" i="6"/>
  <c r="A30" i="6"/>
  <c r="A28" i="6"/>
  <c r="A29" i="6"/>
  <c r="A25" i="6"/>
  <c r="B27" i="6"/>
  <c r="B26" i="6"/>
  <c r="B25" i="6"/>
  <c r="A27" i="6"/>
  <c r="A26" i="6"/>
  <c r="AO10" i="1"/>
  <c r="AO11" i="1"/>
  <c r="AO12" i="1"/>
  <c r="AO13" i="1"/>
  <c r="AO14" i="1"/>
  <c r="AO15" i="1"/>
  <c r="AO16" i="1"/>
  <c r="AO17" i="1"/>
  <c r="AO9" i="1"/>
  <c r="AN10" i="1"/>
  <c r="AN11" i="1"/>
  <c r="AN12" i="1"/>
  <c r="AN13" i="1"/>
  <c r="AN14" i="1"/>
  <c r="AN15" i="1"/>
  <c r="AN16" i="1"/>
  <c r="AN17" i="1"/>
  <c r="AN9" i="1"/>
  <c r="E22" i="6"/>
  <c r="D22" i="6"/>
  <c r="C22" i="6"/>
  <c r="E21" i="6"/>
  <c r="E23" i="6" s="1"/>
  <c r="D21" i="6"/>
  <c r="C21" i="6"/>
  <c r="C23" i="6" s="1"/>
  <c r="B15" i="6"/>
  <c r="B16" i="6" s="1"/>
  <c r="B17" i="6" s="1"/>
  <c r="A12" i="6"/>
  <c r="B10" i="6"/>
  <c r="B8" i="6"/>
  <c r="B9" i="6" s="1"/>
  <c r="R10" i="1"/>
  <c r="S10" i="1" s="1"/>
  <c r="T10" i="1" s="1"/>
  <c r="R11" i="1"/>
  <c r="S11" i="1" s="1"/>
  <c r="T11" i="1" s="1"/>
  <c r="R12" i="1"/>
  <c r="S12" i="1" s="1"/>
  <c r="T12" i="1" s="1"/>
  <c r="R13" i="1"/>
  <c r="S13" i="1" s="1"/>
  <c r="T13" i="1" s="1"/>
  <c r="R14" i="1"/>
  <c r="S14" i="1" s="1"/>
  <c r="T14" i="1" s="1"/>
  <c r="R15" i="1"/>
  <c r="S15" i="1" s="1"/>
  <c r="T15" i="1" s="1"/>
  <c r="R16" i="1"/>
  <c r="S16" i="1" s="1"/>
  <c r="T16" i="1" s="1"/>
  <c r="R17" i="1"/>
  <c r="S17" i="1" s="1"/>
  <c r="T17" i="1" s="1"/>
  <c r="Q8" i="1"/>
  <c r="Q16" i="1" s="1"/>
  <c r="B5" i="6"/>
  <c r="B4" i="6"/>
  <c r="AL17" i="1"/>
  <c r="AM16" i="1"/>
  <c r="AL16" i="1"/>
  <c r="AL15" i="1"/>
  <c r="AL14" i="1"/>
  <c r="AL9" i="1"/>
  <c r="AL10" i="1"/>
  <c r="AL12" i="1"/>
  <c r="AL13" i="1"/>
  <c r="AJ8" i="1"/>
  <c r="D23" i="6" l="1"/>
  <c r="Q17" i="1"/>
  <c r="Q15" i="1"/>
  <c r="Q14" i="1"/>
  <c r="AJ14" i="1"/>
  <c r="AJ15" i="1"/>
  <c r="AJ16" i="1"/>
  <c r="AJ17" i="1"/>
  <c r="AJ11" i="1"/>
  <c r="AJ12" i="1"/>
  <c r="AJ13" i="1"/>
  <c r="AJ9" i="1"/>
  <c r="AJ10" i="1"/>
  <c r="Q13" i="1"/>
  <c r="Q12" i="1"/>
  <c r="Q11" i="1"/>
  <c r="Q9" i="1"/>
  <c r="Q10" i="1"/>
  <c r="AM13" i="1"/>
  <c r="AM12" i="1"/>
  <c r="AM11" i="1"/>
  <c r="AM9" i="1"/>
  <c r="AM10" i="1"/>
  <c r="AQ16" i="1" l="1"/>
  <c r="AQ17" i="1"/>
  <c r="AQ14" i="1"/>
  <c r="AR14" i="1" s="1"/>
  <c r="AS14" i="1" s="1"/>
  <c r="AQ12" i="1"/>
  <c r="AQ15" i="1"/>
  <c r="AQ9" i="1"/>
  <c r="AQ13" i="1"/>
  <c r="AQ11" i="1" l="1"/>
  <c r="AR12" i="1"/>
  <c r="AT16" i="1"/>
  <c r="AU16" i="1" s="1"/>
  <c r="AT17" i="1"/>
  <c r="AU17" i="1" s="1"/>
  <c r="AT12" i="1"/>
  <c r="AU12" i="1" s="1"/>
  <c r="AT15" i="1"/>
  <c r="AU15" i="1" s="1"/>
  <c r="AT9" i="1"/>
  <c r="AU9" i="1" s="1"/>
  <c r="AT14" i="1"/>
  <c r="AU14" i="1" s="1"/>
  <c r="AR13" i="1"/>
  <c r="AS13" i="1" s="1"/>
  <c r="AR17" i="1"/>
  <c r="AS17" i="1" s="1"/>
  <c r="AR16" i="1"/>
  <c r="AS16" i="1" s="1"/>
  <c r="AR15" i="1"/>
  <c r="AS15" i="1" s="1"/>
  <c r="AR9" i="1"/>
  <c r="AT11" i="1" l="1"/>
  <c r="AU11" i="1" s="1"/>
  <c r="AR11" i="1"/>
  <c r="AS11" i="1" s="1"/>
  <c r="AS12" i="1"/>
  <c r="AS9" i="1"/>
  <c r="AK10" i="1"/>
  <c r="AQ10" i="1" s="1"/>
  <c r="AR10" i="1" s="1"/>
  <c r="AS10" i="1" s="1"/>
  <c r="C11" i="8" l="1"/>
  <c r="AT10" i="1"/>
  <c r="AU10" i="1" s="1"/>
  <c r="C3" i="8" s="1"/>
  <c r="B3" i="8"/>
</calcChain>
</file>

<file path=xl/sharedStrings.xml><?xml version="1.0" encoding="utf-8"?>
<sst xmlns="http://schemas.openxmlformats.org/spreadsheetml/2006/main" count="112" uniqueCount="86">
  <si>
    <t>WE</t>
  </si>
  <si>
    <t>V</t>
  </si>
  <si>
    <t>Caution</t>
  </si>
  <si>
    <t>Fra-RC</t>
  </si>
  <si>
    <t>Fra-DM</t>
  </si>
  <si>
    <t>Red_fran</t>
  </si>
  <si>
    <t>p/j</t>
  </si>
  <si>
    <t>Classe</t>
  </si>
  <si>
    <t>TYD</t>
  </si>
  <si>
    <t>Km</t>
  </si>
  <si>
    <t>Caution, franchise et réduction de franchise</t>
  </si>
  <si>
    <t>Young Driver</t>
  </si>
  <si>
    <t>Prix</t>
  </si>
  <si>
    <t>Prix/j</t>
  </si>
  <si>
    <t>Km+</t>
  </si>
  <si>
    <t>IN</t>
  </si>
  <si>
    <t>Coût Classe</t>
  </si>
  <si>
    <t>Véhicule</t>
  </si>
  <si>
    <t>Périod</t>
  </si>
  <si>
    <t>Agence</t>
  </si>
  <si>
    <t>Caution A</t>
  </si>
  <si>
    <t>Age du conducteur</t>
  </si>
  <si>
    <t>Kilomètres parcourus</t>
  </si>
  <si>
    <t>PF_P</t>
  </si>
  <si>
    <t>PF_P_m³</t>
  </si>
  <si>
    <t>P_P</t>
  </si>
  <si>
    <t>NON</t>
  </si>
  <si>
    <t>Age</t>
  </si>
  <si>
    <t>&gt;25</t>
  </si>
  <si>
    <t>23-24</t>
  </si>
  <si>
    <t>19-22</t>
  </si>
  <si>
    <t>Conducteur additionnel</t>
  </si>
  <si>
    <t>&gt;3</t>
  </si>
  <si>
    <t>Hors heures d'ouvertures</t>
  </si>
  <si>
    <t>Eco taxe</t>
  </si>
  <si>
    <t>Hors heures d'ouverture</t>
  </si>
  <si>
    <t>Aller</t>
  </si>
  <si>
    <t>Retour</t>
  </si>
  <si>
    <t>Livraison-Retour</t>
  </si>
  <si>
    <t>&lt;9km</t>
  </si>
  <si>
    <t>10-19km</t>
  </si>
  <si>
    <t>&gt;19km</t>
  </si>
  <si>
    <t>Franchise</t>
  </si>
  <si>
    <t>Aller+Retour</t>
  </si>
  <si>
    <t>Driver+</t>
  </si>
  <si>
    <t>Livraison-reprise</t>
  </si>
  <si>
    <t>Cout Total</t>
  </si>
  <si>
    <t>Distance de livraison</t>
  </si>
  <si>
    <t>Openhours</t>
  </si>
  <si>
    <t>Livraison</t>
  </si>
  <si>
    <t>Europcar (6m³)</t>
  </si>
  <si>
    <t>Europcar (10m³)</t>
  </si>
  <si>
    <t>Europcar (12m³)</t>
  </si>
  <si>
    <t>Europcar (18m³)</t>
  </si>
  <si>
    <t>Europcar (44m³) Permis C</t>
  </si>
  <si>
    <t>Europcar (6m³) Public</t>
  </si>
  <si>
    <t>Europcar (10m³) Public</t>
  </si>
  <si>
    <t>Europcar (12m³) Public</t>
  </si>
  <si>
    <t>Europcar (18m³) Public</t>
  </si>
  <si>
    <t>Options</t>
  </si>
  <si>
    <t>Concatener</t>
  </si>
  <si>
    <t>Omnium comprenant un réduction importante de la franchise, une assurance pour la protection des personnes, bris de vitre et pneus</t>
  </si>
  <si>
    <t>PrixWE</t>
  </si>
  <si>
    <t>?</t>
  </si>
  <si>
    <t>POM</t>
  </si>
  <si>
    <t>TVA</t>
  </si>
  <si>
    <t>Durée de la location (j)</t>
  </si>
  <si>
    <t>WE: vendredi 8h00-lundi 8h00</t>
  </si>
  <si>
    <t>Type location</t>
  </si>
  <si>
    <t>Sur demande</t>
  </si>
  <si>
    <t>Public agence</t>
  </si>
  <si>
    <t>Super Omnium (POM)</t>
  </si>
  <si>
    <t>Conditions</t>
  </si>
  <si>
    <t>Amendes</t>
  </si>
  <si>
    <t>-Assurances CDW et THW inclues (omnium + vol/incendie)</t>
  </si>
  <si>
    <t>-TVA inclue</t>
  </si>
  <si>
    <t>-Frais "d'abandon" nationaux inclus (Retour d'un véhicule dans une autre agence belge)</t>
  </si>
  <si>
    <t>-Trafic international inclus (à l'exemption des pays exclus)</t>
  </si>
  <si>
    <t>-Ecotaxe inclue</t>
  </si>
  <si>
    <t>-Frais de service essences exclus (prix officiel X2)</t>
  </si>
  <si>
    <t>-GPS et pneus neige exclus (sur demande)</t>
  </si>
  <si>
    <t>-Frais d'agence "Aéroport" ou "Gare" exclus (60,50€)</t>
  </si>
  <si>
    <t>-Frais de no show (non présence au départ/retour) (36,20€ par No show)</t>
  </si>
  <si>
    <t>-Frais d'administration des PV (36,20€)</t>
  </si>
  <si>
    <t>-Frais de dossier en cas de dommages (60,50€)</t>
  </si>
  <si>
    <t>Les prix présentés ici ont été calculés le plus précisement possible mais sont donné uniquement à titre indicatif. Pour plus d'informations contactez Europcar.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</si>
</sst>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#,##0\ &quot;€&quot;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/>
    </xf>
    <xf numFmtId="44" fontId="1" fillId="0" borderId="0" xfId="1" applyFont="1" applyFill="1" applyBorder="1"/>
    <xf numFmtId="44" fontId="1" fillId="0" borderId="0" xfId="1" applyFont="1" applyFill="1" applyBorder="1" applyAlignment="1">
      <alignment horizontal="left"/>
    </xf>
    <xf numFmtId="44" fontId="1" fillId="0" borderId="1" xfId="1" applyFont="1" applyFill="1" applyBorder="1" applyAlignment="1">
      <alignment vertical="center" wrapText="1"/>
    </xf>
    <xf numFmtId="44" fontId="1" fillId="0" borderId="0" xfId="1" applyFont="1" applyFill="1" applyBorder="1" applyAlignment="1">
      <alignment vertical="center" wrapText="1"/>
    </xf>
    <xf numFmtId="44" fontId="1" fillId="0" borderId="0" xfId="1" applyFont="1" applyFill="1" applyBorder="1" applyAlignment="1">
      <alignment horizontal="left" vertical="center" wrapText="1"/>
    </xf>
    <xf numFmtId="44" fontId="1" fillId="0" borderId="0" xfId="1" applyFont="1" applyFill="1" applyBorder="1" applyAlignment="1">
      <alignment horizontal="right"/>
    </xf>
    <xf numFmtId="44" fontId="0" fillId="0" borderId="0" xfId="1" applyFont="1"/>
    <xf numFmtId="0" fontId="1" fillId="0" borderId="0" xfId="1" applyNumberFormat="1" applyFont="1" applyFill="1" applyBorder="1"/>
    <xf numFmtId="0" fontId="1" fillId="0" borderId="0" xfId="1" applyNumberFormat="1" applyFont="1" applyFill="1" applyBorder="1" applyAlignment="1">
      <alignment vertical="center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right" vertical="center" wrapText="1"/>
    </xf>
    <xf numFmtId="165" fontId="1" fillId="0" borderId="0" xfId="1" applyNumberFormat="1" applyFont="1" applyFill="1" applyBorder="1" applyAlignment="1">
      <alignment horizontal="right"/>
    </xf>
    <xf numFmtId="165" fontId="1" fillId="0" borderId="0" xfId="1" applyNumberFormat="1" applyFont="1" applyFill="1" applyBorder="1" applyAlignment="1">
      <alignment horizontal="right" vertical="center" wrapText="1"/>
    </xf>
    <xf numFmtId="164" fontId="1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44" fontId="1" fillId="0" borderId="3" xfId="1" applyFont="1" applyFill="1" applyBorder="1"/>
    <xf numFmtId="0" fontId="4" fillId="3" borderId="3" xfId="0" applyFont="1" applyFill="1" applyBorder="1"/>
    <xf numFmtId="0" fontId="1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center"/>
    </xf>
    <xf numFmtId="165" fontId="1" fillId="4" borderId="0" xfId="1" applyNumberFormat="1" applyFont="1" applyFill="1" applyBorder="1" applyAlignment="1">
      <alignment horizontal="center"/>
    </xf>
    <xf numFmtId="44" fontId="1" fillId="4" borderId="0" xfId="1" applyFont="1" applyFill="1" applyBorder="1" applyAlignment="1">
      <alignment horizontal="center"/>
    </xf>
    <xf numFmtId="0" fontId="1" fillId="4" borderId="0" xfId="1" applyNumberFormat="1" applyFont="1" applyFill="1" applyBorder="1" applyAlignment="1">
      <alignment horizontal="center"/>
    </xf>
    <xf numFmtId="44" fontId="1" fillId="5" borderId="0" xfId="1" applyFont="1" applyFill="1" applyBorder="1" applyAlignment="1">
      <alignment horizontal="center"/>
    </xf>
    <xf numFmtId="164" fontId="1" fillId="5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0" xfId="0" applyFont="1" applyFill="1" applyBorder="1"/>
    <xf numFmtId="44" fontId="1" fillId="0" borderId="0" xfId="1" applyFont="1" applyFill="1" applyBorder="1" applyAlignment="1">
      <alignment horizontal="center"/>
    </xf>
    <xf numFmtId="44" fontId="1" fillId="0" borderId="2" xfId="1" applyFont="1" applyFill="1" applyBorder="1" applyAlignment="1">
      <alignment horizontal="center"/>
    </xf>
    <xf numFmtId="166" fontId="1" fillId="0" borderId="0" xfId="2" applyNumberFormat="1" applyFont="1" applyFill="1" applyBorder="1"/>
    <xf numFmtId="0" fontId="0" fillId="0" borderId="0" xfId="0" applyAlignment="1">
      <alignment horizontal="left"/>
    </xf>
    <xf numFmtId="0" fontId="4" fillId="3" borderId="0" xfId="1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/>
    <xf numFmtId="0" fontId="4" fillId="3" borderId="0" xfId="1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1" applyNumberFormat="1" applyFont="1" applyFill="1" applyBorder="1" applyAlignment="1" applyProtection="1">
      <alignment horizontal="center"/>
      <protection locked="0"/>
    </xf>
    <xf numFmtId="44" fontId="1" fillId="2" borderId="0" xfId="1" applyFont="1" applyFill="1" applyBorder="1" applyAlignment="1" applyProtection="1">
      <alignment horizontal="center"/>
      <protection locked="0"/>
    </xf>
    <xf numFmtId="44" fontId="1" fillId="6" borderId="0" xfId="1" applyFont="1" applyFill="1" applyBorder="1" applyAlignment="1"/>
    <xf numFmtId="10" fontId="1" fillId="0" borderId="0" xfId="0" applyNumberFormat="1" applyFont="1" applyFill="1" applyBorder="1"/>
    <xf numFmtId="44" fontId="1" fillId="7" borderId="0" xfId="1" applyFont="1" applyFill="1" applyBorder="1" applyAlignment="1">
      <alignment horizontal="center"/>
    </xf>
    <xf numFmtId="2" fontId="1" fillId="0" borderId="0" xfId="0" applyNumberFormat="1" applyFont="1" applyFill="1" applyBorder="1"/>
    <xf numFmtId="2" fontId="4" fillId="3" borderId="0" xfId="0" applyNumberFormat="1" applyFont="1" applyFill="1" applyBorder="1" applyAlignment="1">
      <alignment horizontal="center"/>
    </xf>
    <xf numFmtId="2" fontId="1" fillId="0" borderId="0" xfId="1" applyNumberFormat="1" applyFont="1" applyFill="1" applyBorder="1"/>
    <xf numFmtId="1" fontId="1" fillId="7" borderId="0" xfId="1" applyNumberFormat="1" applyFont="1" applyFill="1" applyBorder="1" applyAlignment="1">
      <alignment horizontal="center"/>
    </xf>
    <xf numFmtId="1" fontId="1" fillId="4" borderId="0" xfId="1" applyNumberFormat="1" applyFont="1" applyFill="1" applyBorder="1" applyAlignment="1">
      <alignment horizontal="center"/>
    </xf>
    <xf numFmtId="164" fontId="1" fillId="0" borderId="0" xfId="1" applyNumberFormat="1" applyFont="1" applyFill="1" applyBorder="1"/>
    <xf numFmtId="164" fontId="1" fillId="0" borderId="0" xfId="1" applyNumberFormat="1" applyFont="1" applyFill="1" applyBorder="1" applyAlignment="1">
      <alignment vertical="center" wrapText="1"/>
    </xf>
    <xf numFmtId="9" fontId="1" fillId="0" borderId="0" xfId="0" applyNumberFormat="1" applyFont="1" applyFill="1" applyBorder="1"/>
    <xf numFmtId="1" fontId="1" fillId="8" borderId="0" xfId="1" applyNumberFormat="1" applyFont="1" applyFill="1" applyBorder="1" applyAlignment="1">
      <alignment horizontal="center"/>
    </xf>
    <xf numFmtId="0" fontId="1" fillId="4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164" fontId="0" fillId="6" borderId="0" xfId="1" applyNumberFormat="1" applyFont="1" applyFill="1" applyAlignment="1">
      <alignment horizontal="center"/>
    </xf>
    <xf numFmtId="0" fontId="0" fillId="6" borderId="0" xfId="0" applyFill="1" applyAlignment="1"/>
    <xf numFmtId="10" fontId="1" fillId="6" borderId="0" xfId="1" applyNumberFormat="1" applyFont="1" applyFill="1" applyBorder="1" applyAlignment="1"/>
    <xf numFmtId="0" fontId="6" fillId="0" borderId="0" xfId="0" applyFont="1" applyFill="1" applyBorder="1" applyAlignment="1" applyProtection="1"/>
    <xf numFmtId="44" fontId="1" fillId="0" borderId="0" xfId="1" applyFont="1" applyFill="1" applyBorder="1" applyProtection="1"/>
    <xf numFmtId="0" fontId="1" fillId="0" borderId="0" xfId="1" applyNumberFormat="1" applyFont="1" applyFill="1" applyBorder="1" applyProtection="1"/>
    <xf numFmtId="10" fontId="1" fillId="0" borderId="0" xfId="1" applyNumberFormat="1" applyFont="1" applyFill="1" applyBorder="1" applyAlignment="1" applyProtection="1"/>
    <xf numFmtId="44" fontId="1" fillId="0" borderId="0" xfId="1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0" fontId="5" fillId="0" borderId="0" xfId="0" applyFont="1" applyFill="1" applyAlignment="1" applyProtection="1"/>
    <xf numFmtId="0" fontId="1" fillId="0" borderId="0" xfId="0" applyFont="1" applyFill="1" applyBorder="1" applyAlignment="1" applyProtection="1"/>
    <xf numFmtId="0" fontId="0" fillId="0" borderId="0" xfId="0" applyProtection="1"/>
    <xf numFmtId="44" fontId="1" fillId="0" borderId="0" xfId="1" applyFont="1" applyFill="1" applyBorder="1" applyAlignment="1" applyProtection="1"/>
    <xf numFmtId="0" fontId="6" fillId="0" borderId="0" xfId="0" applyFont="1" applyFill="1" applyBorder="1" applyAlignment="1"/>
    <xf numFmtId="49" fontId="7" fillId="9" borderId="0" xfId="0" applyNumberFormat="1" applyFont="1" applyFill="1" applyBorder="1" applyAlignment="1">
      <alignment horizontal="left"/>
    </xf>
    <xf numFmtId="49" fontId="7" fillId="0" borderId="0" xfId="0" applyNumberFormat="1" applyFont="1" applyAlignment="1">
      <alignment horizontal="left"/>
    </xf>
    <xf numFmtId="0" fontId="4" fillId="3" borderId="0" xfId="0" applyFont="1" applyFill="1" applyAlignment="1">
      <alignment horizontal="center"/>
    </xf>
    <xf numFmtId="49" fontId="7" fillId="0" borderId="0" xfId="0" applyNumberFormat="1" applyFont="1" applyAlignment="1">
      <alignment horizontal="left"/>
    </xf>
    <xf numFmtId="0" fontId="2" fillId="0" borderId="0" xfId="0" applyFont="1" applyFill="1" applyAlignment="1">
      <alignment horizontal="center"/>
    </xf>
    <xf numFmtId="0" fontId="1" fillId="2" borderId="0" xfId="0" applyFont="1" applyFill="1" applyBorder="1" applyAlignment="1" applyProtection="1">
      <alignment horizontal="center"/>
      <protection locked="0"/>
    </xf>
    <xf numFmtId="0" fontId="4" fillId="3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/>
    </xf>
    <xf numFmtId="0" fontId="4" fillId="3" borderId="3" xfId="1" applyNumberFormat="1" applyFont="1" applyFill="1" applyBorder="1" applyAlignment="1">
      <alignment horizontal="center"/>
    </xf>
    <xf numFmtId="165" fontId="4" fillId="3" borderId="5" xfId="1" applyNumberFormat="1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center"/>
    </xf>
    <xf numFmtId="165" fontId="4" fillId="3" borderId="4" xfId="1" applyNumberFormat="1" applyFont="1" applyFill="1" applyBorder="1" applyAlignment="1">
      <alignment horizontal="center"/>
    </xf>
    <xf numFmtId="44" fontId="4" fillId="3" borderId="5" xfId="1" applyFont="1" applyFill="1" applyBorder="1" applyAlignment="1">
      <alignment horizontal="center"/>
    </xf>
    <xf numFmtId="44" fontId="4" fillId="3" borderId="0" xfId="1" applyFont="1" applyFill="1" applyBorder="1" applyAlignment="1">
      <alignment horizontal="center"/>
    </xf>
    <xf numFmtId="44" fontId="4" fillId="3" borderId="4" xfId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showGridLines="0" tabSelected="1" zoomScaleNormal="100" workbookViewId="0">
      <selection activeCell="B1" sqref="B1:C1"/>
    </sheetView>
  </sheetViews>
  <sheetFormatPr baseColWidth="10" defaultRowHeight="15" x14ac:dyDescent="0.25"/>
  <cols>
    <col min="1" max="1" width="23.7109375" bestFit="1" customWidth="1"/>
    <col min="2" max="2" width="19.140625" style="40" bestFit="1" customWidth="1"/>
    <col min="3" max="3" width="18" customWidth="1"/>
    <col min="4" max="4" width="12.85546875" style="23" customWidth="1"/>
  </cols>
  <sheetData>
    <row r="1" spans="1:10" x14ac:dyDescent="0.25">
      <c r="A1" s="34" t="s">
        <v>17</v>
      </c>
      <c r="B1" s="81" t="s">
        <v>53</v>
      </c>
      <c r="C1" s="81"/>
      <c r="D1" s="72"/>
      <c r="E1" s="66"/>
      <c r="F1" s="66"/>
      <c r="G1" s="66"/>
      <c r="H1" s="67"/>
      <c r="I1" s="5"/>
      <c r="J1" s="5"/>
    </row>
    <row r="2" spans="1:10" x14ac:dyDescent="0.25">
      <c r="A2" s="61" t="s">
        <v>66</v>
      </c>
      <c r="B2" s="45">
        <v>1</v>
      </c>
      <c r="C2" s="65" t="s">
        <v>67</v>
      </c>
      <c r="D2" s="65"/>
      <c r="E2" s="66"/>
      <c r="F2" s="66"/>
      <c r="G2" s="66"/>
      <c r="H2" s="67"/>
      <c r="I2" s="5"/>
      <c r="J2" s="5"/>
    </row>
    <row r="3" spans="1:10" x14ac:dyDescent="0.25">
      <c r="A3" s="34" t="s">
        <v>46</v>
      </c>
      <c r="B3" s="48">
        <f>VLOOKUP(B1,Data!A9:AT17,43,FALSE)</f>
        <v>92.625500000000002</v>
      </c>
      <c r="C3" s="64" t="str">
        <f>CONCATENATE("Reduction= ",(VLOOKUP(Formulaire!B1,Data!A9:AU17,47,FALSE)))</f>
        <v>Reduction= 14,31%</v>
      </c>
      <c r="D3" s="68"/>
      <c r="E3" s="66"/>
      <c r="F3" s="66"/>
      <c r="G3" s="66"/>
      <c r="H3" s="67"/>
      <c r="I3" s="5"/>
      <c r="J3" s="5"/>
    </row>
    <row r="4" spans="1:10" x14ac:dyDescent="0.25">
      <c r="A4" s="34" t="s">
        <v>2</v>
      </c>
      <c r="B4" s="48">
        <f>VLOOKUP(B1,Data!A9:AT17,24,FALSE)</f>
        <v>550</v>
      </c>
      <c r="C4" s="75" t="str">
        <f>IF(B2="WE","","Caution indicative sur base d'une durée d'un pack WE")</f>
        <v>Caution indicative sur base d'une durée d'un pack WE</v>
      </c>
      <c r="D4" s="69"/>
      <c r="E4" s="66"/>
      <c r="F4" s="66"/>
      <c r="G4" s="66"/>
      <c r="H4" s="67"/>
      <c r="I4" s="5"/>
      <c r="J4" s="5"/>
    </row>
    <row r="5" spans="1:10" x14ac:dyDescent="0.25">
      <c r="A5" s="41" t="s">
        <v>42</v>
      </c>
      <c r="B5" s="48">
        <f>IF(B11="OUI",VLOOKUP(B1,Data!A9:AT17,27,FALSE),VLOOKUP(B1,Data!A9:AT17,26,FALSE))</f>
        <v>2750</v>
      </c>
      <c r="C5" s="1"/>
      <c r="D5" s="69"/>
      <c r="E5" s="66"/>
      <c r="F5" s="66"/>
      <c r="G5" s="66"/>
      <c r="H5" s="67"/>
      <c r="I5" s="5"/>
      <c r="J5" s="5"/>
    </row>
    <row r="6" spans="1:10" ht="27" customHeight="1" x14ac:dyDescent="0.25">
      <c r="A6" s="83" t="s">
        <v>85</v>
      </c>
      <c r="B6" s="83"/>
      <c r="C6" s="83"/>
      <c r="D6" s="83"/>
      <c r="E6" s="66"/>
      <c r="F6" s="66"/>
      <c r="G6" s="66"/>
      <c r="H6" s="67"/>
      <c r="I6" s="5"/>
      <c r="J6" s="5"/>
    </row>
    <row r="7" spans="1:10" x14ac:dyDescent="0.25">
      <c r="A7" s="42" t="s">
        <v>22</v>
      </c>
      <c r="B7" s="45">
        <v>120</v>
      </c>
      <c r="C7" s="63" t="str">
        <f>CONCATENATE("Inclus= ",Data!U9,"km")</f>
        <v>Inclus= 120km</v>
      </c>
      <c r="D7" s="71"/>
      <c r="E7" s="72"/>
      <c r="F7" s="73"/>
      <c r="G7" s="73"/>
      <c r="H7" s="73"/>
    </row>
    <row r="8" spans="1:10" x14ac:dyDescent="0.25">
      <c r="A8" s="42" t="s">
        <v>21</v>
      </c>
      <c r="B8" s="45" t="s">
        <v>28</v>
      </c>
      <c r="D8" s="70"/>
      <c r="E8" s="74"/>
      <c r="F8" s="73"/>
      <c r="G8" s="73"/>
      <c r="H8" s="73"/>
    </row>
    <row r="9" spans="1:10" x14ac:dyDescent="0.25">
      <c r="D9" s="70"/>
      <c r="E9" s="66"/>
      <c r="F9" s="66"/>
      <c r="G9" s="66"/>
      <c r="H9" s="67"/>
      <c r="I9" s="5"/>
      <c r="J9" s="5"/>
    </row>
    <row r="10" spans="1:10" x14ac:dyDescent="0.25">
      <c r="A10" s="82" t="s">
        <v>59</v>
      </c>
      <c r="B10" s="82"/>
      <c r="D10" s="70"/>
      <c r="E10" s="73"/>
      <c r="F10" s="73"/>
      <c r="G10" s="73"/>
      <c r="H10" s="73"/>
    </row>
    <row r="11" spans="1:10" x14ac:dyDescent="0.25">
      <c r="A11" s="42" t="s">
        <v>71</v>
      </c>
      <c r="B11" s="45" t="s">
        <v>26</v>
      </c>
      <c r="C11" s="62">
        <f>VLOOKUP(B1,Data!A9:AT17,37,FALSE)</f>
        <v>29.87</v>
      </c>
      <c r="D11" s="70"/>
      <c r="E11" s="73"/>
      <c r="F11" s="73"/>
      <c r="G11" s="73"/>
      <c r="H11" s="73"/>
    </row>
    <row r="12" spans="1:10" x14ac:dyDescent="0.25">
      <c r="A12" s="43" t="s">
        <v>31</v>
      </c>
      <c r="B12" s="46">
        <v>0</v>
      </c>
      <c r="D12" s="70"/>
      <c r="E12" s="73"/>
      <c r="F12" s="73"/>
      <c r="G12" s="73"/>
      <c r="H12" s="73"/>
    </row>
    <row r="13" spans="1:10" x14ac:dyDescent="0.25">
      <c r="A13" s="43" t="s">
        <v>33</v>
      </c>
      <c r="B13" s="46" t="s">
        <v>26</v>
      </c>
      <c r="D13" s="70"/>
      <c r="E13" s="73"/>
      <c r="F13" s="73"/>
      <c r="G13" s="73"/>
      <c r="H13" s="73"/>
    </row>
    <row r="14" spans="1:10" x14ac:dyDescent="0.25">
      <c r="A14" s="43" t="s">
        <v>45</v>
      </c>
      <c r="B14" s="47" t="s">
        <v>26</v>
      </c>
      <c r="D14" s="70"/>
      <c r="E14" s="73"/>
      <c r="F14" s="73"/>
      <c r="G14" s="73"/>
      <c r="H14" s="73"/>
    </row>
    <row r="15" spans="1:10" x14ac:dyDescent="0.25">
      <c r="A15" s="44" t="s">
        <v>47</v>
      </c>
      <c r="B15" s="47" t="s">
        <v>26</v>
      </c>
      <c r="D15" s="70"/>
      <c r="E15" s="73"/>
      <c r="F15" s="73"/>
      <c r="G15" s="73"/>
      <c r="H15" s="73"/>
    </row>
    <row r="17" spans="1:4" x14ac:dyDescent="0.25">
      <c r="A17" s="82" t="s">
        <v>72</v>
      </c>
      <c r="B17" s="82"/>
      <c r="C17" s="82"/>
      <c r="D17" s="82"/>
    </row>
    <row r="18" spans="1:4" x14ac:dyDescent="0.25">
      <c r="A18" s="79" t="s">
        <v>74</v>
      </c>
      <c r="B18" s="79"/>
      <c r="C18" s="79"/>
      <c r="D18" s="79"/>
    </row>
    <row r="19" spans="1:4" x14ac:dyDescent="0.25">
      <c r="A19" s="79" t="s">
        <v>75</v>
      </c>
      <c r="B19" s="79"/>
      <c r="C19" s="79"/>
      <c r="D19" s="79"/>
    </row>
    <row r="20" spans="1:4" x14ac:dyDescent="0.25">
      <c r="A20" s="76" t="s">
        <v>76</v>
      </c>
      <c r="B20" s="76"/>
      <c r="C20" s="76"/>
      <c r="D20" s="76"/>
    </row>
    <row r="21" spans="1:4" x14ac:dyDescent="0.25">
      <c r="A21" s="77" t="s">
        <v>77</v>
      </c>
      <c r="B21" s="77"/>
      <c r="C21" s="77"/>
      <c r="D21" s="77"/>
    </row>
    <row r="22" spans="1:4" x14ac:dyDescent="0.25">
      <c r="A22" s="79" t="s">
        <v>78</v>
      </c>
      <c r="B22" s="79"/>
      <c r="C22" s="79"/>
      <c r="D22" s="79"/>
    </row>
    <row r="23" spans="1:4" x14ac:dyDescent="0.25">
      <c r="A23" s="79" t="s">
        <v>79</v>
      </c>
      <c r="B23" s="79"/>
      <c r="C23" s="79"/>
      <c r="D23" s="79"/>
    </row>
    <row r="24" spans="1:4" x14ac:dyDescent="0.25">
      <c r="A24" s="79" t="s">
        <v>80</v>
      </c>
      <c r="B24" s="79"/>
      <c r="C24" s="79"/>
      <c r="D24" s="79"/>
    </row>
    <row r="25" spans="1:4" x14ac:dyDescent="0.25">
      <c r="A25" s="77" t="s">
        <v>81</v>
      </c>
      <c r="B25" s="77"/>
      <c r="C25" s="77"/>
      <c r="D25" s="77"/>
    </row>
    <row r="26" spans="1:4" x14ac:dyDescent="0.25">
      <c r="A26" s="78" t="s">
        <v>73</v>
      </c>
      <c r="B26" s="78"/>
      <c r="C26" s="78"/>
      <c r="D26" s="78"/>
    </row>
    <row r="27" spans="1:4" x14ac:dyDescent="0.25">
      <c r="A27" s="79" t="s">
        <v>82</v>
      </c>
      <c r="B27" s="79"/>
      <c r="C27" s="79"/>
      <c r="D27" s="79"/>
    </row>
    <row r="28" spans="1:4" x14ac:dyDescent="0.25">
      <c r="A28" s="79" t="s">
        <v>83</v>
      </c>
      <c r="B28" s="79"/>
      <c r="C28" s="79"/>
      <c r="D28" s="79"/>
    </row>
    <row r="29" spans="1:4" x14ac:dyDescent="0.25">
      <c r="A29" s="79" t="s">
        <v>84</v>
      </c>
      <c r="B29" s="79"/>
      <c r="C29" s="79"/>
      <c r="D29" s="79"/>
    </row>
    <row r="30" spans="1:4" x14ac:dyDescent="0.25">
      <c r="A30" s="80"/>
      <c r="B30" s="80"/>
      <c r="C30" s="80"/>
      <c r="D30" s="80"/>
    </row>
  </sheetData>
  <sheetProtection algorithmName="SHA-512" hashValue="0CLxd10Y2W3FqnzFto3ifvCmanrhLf+MNuZdiuPhSMSgAJVoKQODG9Tg4Ecole2Sv1RFHEQhabKQL5zbUxX99w==" saltValue="xR7PX7iq+/fAQxi9dZ1N3Q==" spinCount="100000" sheet="1" objects="1" scenarios="1" selectLockedCells="1"/>
  <dataConsolidate topLabels="1"/>
  <mergeCells count="14">
    <mergeCell ref="A19:D19"/>
    <mergeCell ref="A18:D18"/>
    <mergeCell ref="A23:D23"/>
    <mergeCell ref="A24:D24"/>
    <mergeCell ref="B1:C1"/>
    <mergeCell ref="A10:B10"/>
    <mergeCell ref="A22:D22"/>
    <mergeCell ref="A17:D17"/>
    <mergeCell ref="A6:D6"/>
    <mergeCell ref="A26:D26"/>
    <mergeCell ref="A27:D27"/>
    <mergeCell ref="A28:D28"/>
    <mergeCell ref="A29:D29"/>
    <mergeCell ref="A30:D30"/>
  </mergeCells>
  <dataValidations count="2">
    <dataValidation type="whole" operator="greaterThan" allowBlank="1" showInputMessage="1" showErrorMessage="1" sqref="B7">
      <formula1>0</formula1>
    </dataValidation>
    <dataValidation type="list" allowBlank="1" showInputMessage="1" showErrorMessage="1" sqref="B11">
      <formula1>"OUI,NON"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Options!$B$19:$E$19</xm:f>
          </x14:formula1>
          <xm:sqref>B15</xm:sqref>
        </x14:dataValidation>
        <x14:dataValidation type="list" allowBlank="1" showInputMessage="1" showErrorMessage="1">
          <x14:formula1>
            <xm:f>Options!$A$20:$A$23</xm:f>
          </x14:formula1>
          <xm:sqref>B14</xm:sqref>
        </x14:dataValidation>
        <x14:dataValidation type="list" allowBlank="1" showInputMessage="1" showErrorMessage="1">
          <x14:formula1>
            <xm:f>Options!$A$7:$A$10</xm:f>
          </x14:formula1>
          <xm:sqref>B12</xm:sqref>
        </x14:dataValidation>
        <x14:dataValidation type="list" allowBlank="1" showInputMessage="1" showErrorMessage="1">
          <x14:formula1>
            <xm:f>Options!$A$14:$A$17</xm:f>
          </x14:formula1>
          <xm:sqref>B13</xm:sqref>
        </x14:dataValidation>
        <x14:dataValidation type="list" allowBlank="1" showInputMessage="1" showErrorMessage="1">
          <x14:formula1>
            <xm:f>Options!$A$3:$A$5</xm:f>
          </x14:formula1>
          <xm:sqref>B8</xm:sqref>
        </x14:dataValidation>
        <x14:dataValidation type="list" allowBlank="1" showInputMessage="1" showErrorMessage="1">
          <x14:formula1>
            <xm:f>Data!$A$9:$A$17</xm:f>
          </x14:formula1>
          <xm:sqref>B1</xm:sqref>
        </x14:dataValidation>
        <x14:dataValidation type="list" allowBlank="1" showInputMessage="1" showErrorMessage="1">
          <x14:formula1>
            <xm:f>Options!$A$39:$A$69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2" sqref="A2"/>
      <selection pane="bottomRight" activeCell="J12" sqref="J12"/>
    </sheetView>
  </sheetViews>
  <sheetFormatPr baseColWidth="10" defaultRowHeight="15" x14ac:dyDescent="0.25"/>
  <cols>
    <col min="1" max="1" width="33.28515625" style="3" customWidth="1"/>
    <col min="2" max="2" width="7.7109375" style="20" customWidth="1"/>
    <col min="3" max="3" width="5" style="20" bestFit="1" customWidth="1"/>
    <col min="4" max="4" width="7.28515625" style="1" customWidth="1"/>
    <col min="5" max="5" width="10.42578125" style="1" bestFit="1" customWidth="1"/>
    <col min="6" max="6" width="12.7109375" style="1" bestFit="1" customWidth="1"/>
    <col min="7" max="7" width="10.42578125" style="1" customWidth="1"/>
    <col min="8" max="8" width="10.42578125" style="4" bestFit="1" customWidth="1"/>
    <col min="9" max="16" width="10.42578125" style="53" customWidth="1"/>
    <col min="17" max="17" width="4" style="4" customWidth="1"/>
    <col min="18" max="18" width="7.85546875" style="4" bestFit="1" customWidth="1"/>
    <col min="19" max="19" width="9.42578125" style="4" bestFit="1" customWidth="1"/>
    <col min="20" max="20" width="8.85546875" style="4" bestFit="1" customWidth="1"/>
    <col min="21" max="21" width="9.5703125" style="11" bestFit="1" customWidth="1"/>
    <col min="22" max="22" width="6.85546875" style="5" customWidth="1"/>
    <col min="23" max="23" width="11" style="5" customWidth="1"/>
    <col min="24" max="24" width="11" style="15" customWidth="1"/>
    <col min="25" max="25" width="7.7109375" style="17" bestFit="1" customWidth="1"/>
    <col min="26" max="26" width="11.42578125" style="15" bestFit="1" customWidth="1"/>
    <col min="27" max="27" width="10" style="15" customWidth="1"/>
    <col min="28" max="35" width="7.7109375" style="15" customWidth="1"/>
    <col min="36" max="36" width="2.140625" style="14" customWidth="1"/>
    <col min="37" max="37" width="9.5703125" style="14" bestFit="1" customWidth="1"/>
    <col min="38" max="38" width="9.42578125" style="5" customWidth="1"/>
    <col min="39" max="39" width="11" style="4" bestFit="1" customWidth="1"/>
    <col min="40" max="40" width="9.42578125" style="4" customWidth="1"/>
    <col min="41" max="41" width="12.28515625" style="4" bestFit="1" customWidth="1"/>
    <col min="42" max="42" width="12.28515625" style="4" customWidth="1"/>
    <col min="43" max="43" width="11" style="1" bestFit="1" customWidth="1"/>
    <col min="44" max="44" width="8.42578125" style="1" customWidth="1"/>
    <col min="45" max="45" width="11.140625" style="1" customWidth="1"/>
    <col min="46" max="46" width="11.42578125" style="39"/>
    <col min="47" max="16384" width="11.42578125" style="1"/>
  </cols>
  <sheetData>
    <row r="1" spans="1:47" x14ac:dyDescent="0.25">
      <c r="A1" s="1"/>
      <c r="B1" s="1"/>
      <c r="C1" s="1"/>
      <c r="H1" s="1"/>
      <c r="I1" s="51"/>
      <c r="J1" s="51"/>
      <c r="K1" s="51"/>
      <c r="L1" s="51"/>
      <c r="M1" s="51"/>
      <c r="N1" s="51"/>
      <c r="O1" s="51"/>
      <c r="P1" s="51"/>
      <c r="Q1" s="1"/>
      <c r="R1" s="1"/>
      <c r="S1" s="1"/>
      <c r="T1" s="1"/>
      <c r="U1" s="1"/>
      <c r="V1" s="1"/>
      <c r="W1" s="1"/>
    </row>
    <row r="2" spans="1:47" x14ac:dyDescent="0.25">
      <c r="A2" s="1"/>
      <c r="B2" s="1"/>
      <c r="C2" s="1"/>
      <c r="H2" s="1"/>
      <c r="I2" s="51"/>
      <c r="J2" s="51"/>
      <c r="K2" s="51"/>
      <c r="L2" s="51"/>
      <c r="M2" s="51"/>
      <c r="N2" s="51"/>
      <c r="O2" s="51"/>
      <c r="P2" s="51"/>
      <c r="Q2" s="1"/>
      <c r="R2" s="1"/>
      <c r="S2" s="1"/>
      <c r="T2" s="1"/>
      <c r="U2" s="1"/>
      <c r="V2" s="1"/>
      <c r="W2" s="1"/>
    </row>
    <row r="3" spans="1:47" x14ac:dyDescent="0.25">
      <c r="A3" s="1"/>
      <c r="B3" s="1"/>
      <c r="C3" s="1"/>
      <c r="H3" s="1"/>
      <c r="I3" s="51"/>
      <c r="J3" s="51"/>
      <c r="K3" s="51"/>
      <c r="L3" s="51"/>
      <c r="M3" s="51"/>
      <c r="N3" s="51"/>
      <c r="O3" s="51"/>
      <c r="P3" s="51"/>
      <c r="Q3" s="1"/>
      <c r="R3" s="1"/>
      <c r="S3" s="1"/>
      <c r="T3" s="1"/>
      <c r="U3" s="1"/>
      <c r="V3" s="1"/>
      <c r="W3" s="1"/>
    </row>
    <row r="4" spans="1:47" x14ac:dyDescent="0.25">
      <c r="A4" s="1"/>
      <c r="B4" s="1"/>
      <c r="C4" s="1"/>
      <c r="H4" s="1"/>
      <c r="I4" s="51"/>
      <c r="J4" s="51"/>
      <c r="K4" s="51"/>
      <c r="L4" s="51"/>
      <c r="M4" s="51"/>
      <c r="N4" s="51"/>
      <c r="O4" s="51"/>
      <c r="P4" s="51"/>
      <c r="Q4" s="1"/>
      <c r="R4" s="1"/>
      <c r="S4" s="1"/>
      <c r="T4" s="1"/>
      <c r="U4" s="1"/>
      <c r="V4" s="1"/>
      <c r="W4" s="1"/>
    </row>
    <row r="5" spans="1:47" x14ac:dyDescent="0.25">
      <c r="A5" s="1"/>
      <c r="B5" s="1"/>
      <c r="C5" s="1"/>
      <c r="F5" s="1" t="s">
        <v>70</v>
      </c>
      <c r="H5" s="1"/>
      <c r="I5" s="51"/>
      <c r="J5" s="51"/>
      <c r="K5" s="51"/>
      <c r="L5" s="51"/>
      <c r="M5" s="51"/>
      <c r="N5" s="51"/>
      <c r="O5" s="51"/>
      <c r="P5" s="51"/>
      <c r="Q5" s="1"/>
      <c r="R5" s="1"/>
      <c r="S5" s="1"/>
      <c r="T5" s="1"/>
      <c r="U5" s="1"/>
      <c r="V5" s="1"/>
      <c r="W5" s="1"/>
    </row>
    <row r="6" spans="1:47" x14ac:dyDescent="0.25">
      <c r="D6" s="1" t="s">
        <v>65</v>
      </c>
      <c r="E6" s="58">
        <v>0.21</v>
      </c>
      <c r="F6" s="58">
        <v>0.09</v>
      </c>
      <c r="G6" s="58"/>
      <c r="U6" s="11">
        <v>120</v>
      </c>
    </row>
    <row r="7" spans="1:47" x14ac:dyDescent="0.25">
      <c r="A7" s="82" t="s">
        <v>17</v>
      </c>
      <c r="B7" s="82"/>
      <c r="C7" s="82"/>
      <c r="D7" s="82"/>
      <c r="E7" s="82"/>
      <c r="F7" s="82"/>
      <c r="G7" s="82"/>
      <c r="H7" s="84"/>
      <c r="I7" s="52"/>
      <c r="J7" s="52"/>
      <c r="K7" s="52"/>
      <c r="L7" s="52"/>
      <c r="M7" s="52"/>
      <c r="N7" s="52"/>
      <c r="O7" s="52"/>
      <c r="P7" s="52"/>
      <c r="Q7" s="89" t="s">
        <v>11</v>
      </c>
      <c r="R7" s="90"/>
      <c r="S7" s="90"/>
      <c r="T7" s="91"/>
      <c r="U7" s="85" t="s">
        <v>9</v>
      </c>
      <c r="V7" s="85"/>
      <c r="W7" s="86" t="s">
        <v>10</v>
      </c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8"/>
      <c r="AL7" s="35"/>
      <c r="AM7" s="25" t="s">
        <v>62</v>
      </c>
      <c r="AN7" s="4" t="s">
        <v>44</v>
      </c>
      <c r="AO7" s="4" t="s">
        <v>48</v>
      </c>
      <c r="AP7" s="4" t="s">
        <v>49</v>
      </c>
      <c r="AQ7" s="36"/>
      <c r="AR7" s="36"/>
      <c r="AS7" s="26" t="s">
        <v>16</v>
      </c>
    </row>
    <row r="8" spans="1:47" x14ac:dyDescent="0.25">
      <c r="A8" s="27" t="s">
        <v>19</v>
      </c>
      <c r="B8" s="27" t="s">
        <v>7</v>
      </c>
      <c r="C8" s="27" t="s">
        <v>1</v>
      </c>
      <c r="D8" s="27" t="s">
        <v>18</v>
      </c>
      <c r="E8" s="30" t="s">
        <v>12</v>
      </c>
      <c r="F8" s="30"/>
      <c r="G8" s="30"/>
      <c r="H8" s="50" t="s">
        <v>0</v>
      </c>
      <c r="I8" s="54">
        <v>3</v>
      </c>
      <c r="J8" s="54">
        <v>6</v>
      </c>
      <c r="K8" s="59">
        <v>7</v>
      </c>
      <c r="L8" s="54">
        <v>13</v>
      </c>
      <c r="M8" s="59">
        <v>14</v>
      </c>
      <c r="N8" s="55">
        <v>20</v>
      </c>
      <c r="O8" s="59">
        <v>21</v>
      </c>
      <c r="P8" s="55">
        <v>29</v>
      </c>
      <c r="Q8" s="32" t="str">
        <f>IF(Formulaire!B8="&gt;25","","Y")</f>
        <v/>
      </c>
      <c r="R8" s="50"/>
      <c r="S8" s="30" t="s">
        <v>13</v>
      </c>
      <c r="T8" s="30" t="s">
        <v>8</v>
      </c>
      <c r="U8" s="31" t="s">
        <v>15</v>
      </c>
      <c r="V8" s="30" t="s">
        <v>14</v>
      </c>
      <c r="W8" s="30" t="s">
        <v>20</v>
      </c>
      <c r="X8" s="28" t="s">
        <v>2</v>
      </c>
      <c r="Y8" s="29" t="s">
        <v>3</v>
      </c>
      <c r="Z8" s="28" t="s">
        <v>4</v>
      </c>
      <c r="AA8" s="28" t="s">
        <v>5</v>
      </c>
      <c r="AB8" s="28" t="s">
        <v>6</v>
      </c>
      <c r="AC8" s="60">
        <v>3</v>
      </c>
      <c r="AD8" s="60">
        <v>6</v>
      </c>
      <c r="AE8" s="60">
        <v>13</v>
      </c>
      <c r="AF8" s="60">
        <v>23</v>
      </c>
      <c r="AG8" s="60">
        <v>119</v>
      </c>
      <c r="AH8" s="60">
        <v>179</v>
      </c>
      <c r="AI8" s="60">
        <v>180</v>
      </c>
      <c r="AJ8" s="33" t="str">
        <f>IF(Formulaire!B11="OUI","Y","")</f>
        <v/>
      </c>
      <c r="AK8" s="28" t="s">
        <v>64</v>
      </c>
      <c r="AL8" s="30" t="s">
        <v>25</v>
      </c>
      <c r="AM8" s="30" t="s">
        <v>0</v>
      </c>
      <c r="AN8" s="30"/>
      <c r="AO8" s="30"/>
      <c r="AP8" s="30"/>
      <c r="AQ8" s="30" t="s">
        <v>23</v>
      </c>
      <c r="AR8" s="30" t="s">
        <v>24</v>
      </c>
      <c r="AS8" s="30" t="s">
        <v>16</v>
      </c>
    </row>
    <row r="9" spans="1:47" x14ac:dyDescent="0.25">
      <c r="A9" s="24" t="s">
        <v>50</v>
      </c>
      <c r="B9" s="22">
        <v>10</v>
      </c>
      <c r="C9" s="21">
        <v>6</v>
      </c>
      <c r="D9" s="2" t="s">
        <v>0</v>
      </c>
      <c r="E9" s="7">
        <f>F9*(1+$E$6)</f>
        <v>57.317699999999995</v>
      </c>
      <c r="F9" s="7">
        <f>IF(Formulaire!$B$2=Data!$H$8,Data!$H9,IF(Formulaire!$B$2&lt;=Data!$I$8,Data!$I9*Formulaire!B$2,IF(Formulaire!$B$2&lt;=Data!$J$8,Data!$J9*Formulaire!B$2,IF(Formulaire!$B$2=Data!$K$8,Data!$K9,IF(Formulaire!$B$2&lt;=Data!$L$8,(K9+(Data!$L9*(Formulaire!B$2-$K$8))),IF(Formulaire!$B$2=Data!$M$8,Data!$M9,IF(Formulaire!$B$2&lt;=Data!$N$8,(M9+(Data!$N9*(Formulaire!B$2-$M$8))),IF(Formulaire!$B$2=Data!$O$8,Data!$O9,IF(Formulaire!$B$2&lt;=Data!$P$8,(O9+(Data!$P9*(Formulaire!B$2-$O$8))),IF(Formulaire!$B$2="Sur demande",""))))))))))</f>
        <v>47.37</v>
      </c>
      <c r="G9" s="12"/>
      <c r="H9" s="7">
        <f>97.77</f>
        <v>97.77</v>
      </c>
      <c r="I9" s="56">
        <v>47.37</v>
      </c>
      <c r="J9" s="56">
        <v>42.63</v>
      </c>
      <c r="K9" s="56">
        <v>255.81</v>
      </c>
      <c r="L9" s="56">
        <v>31.06</v>
      </c>
      <c r="M9" s="56">
        <v>473.22</v>
      </c>
      <c r="N9" s="57">
        <v>28.97</v>
      </c>
      <c r="O9" s="57">
        <v>676.01</v>
      </c>
      <c r="P9" s="57">
        <v>32.19</v>
      </c>
      <c r="Q9" s="7" t="str">
        <f t="shared" ref="Q9:Q17" si="0">IF($Q$8="Y","x","")</f>
        <v/>
      </c>
      <c r="R9" s="7">
        <f>IF(Formulaire!$B$8=Options!$A$4,Options!$B$4,IF(Formulaire!$B$8=Options!$A$5,Options!$B$5,Options!$B$3))</f>
        <v>0</v>
      </c>
      <c r="S9" s="4">
        <f>IF(Formulaire!$B$2="WE",Data!R9*3,IF(Formulaire!$B$2="Sur demande","",IF(Formulaire!$B$2&gt;=10,Data!R9*10,IF(Formulaire!$B$2&lt;10,Data!R9*Formulaire!$B$2))))</f>
        <v>0</v>
      </c>
      <c r="T9" s="6">
        <f>S9</f>
        <v>0</v>
      </c>
      <c r="U9" s="12">
        <f>IF(Formulaire!$B$2=Data!$H$8,3*$U$6,IF(Formulaire!$B$2="Sur demande","",Formulaire!$B$2*$U$6))</f>
        <v>120</v>
      </c>
      <c r="V9" s="8">
        <v>0.19</v>
      </c>
      <c r="W9" s="8">
        <v>1500</v>
      </c>
      <c r="X9" s="16">
        <v>450</v>
      </c>
      <c r="Y9" s="18">
        <v>1750</v>
      </c>
      <c r="Z9" s="18">
        <v>1750</v>
      </c>
      <c r="AA9" s="15">
        <v>350</v>
      </c>
      <c r="AB9" s="15">
        <f>IF(Formulaire!$B$2="WE",Data!AC9*4,IF(Formulaire!$B$2="Sur demande","",IF(Formulaire!$B$2&lt;Data!$AC$8,Formulaire!$B$2*Data!AC9,IF(Formulaire!$B$2&lt;Data!$AD$8,Formulaire!$B$2*Data!AD9,IF(Formulaire!$B$2&lt;Data!$AE$8,Formulaire!$B$2*Data!AE9,IF(Formulaire!$B$2&lt;Data!$AF$8,Formulaire!$B$2*Data!AF9,IF(Formulaire!$B$2&lt;Data!$AG$8,Formulaire!$B$2*Data!AG9,IF(Formulaire!$B$2&lt;Data!$AH$8,Formulaire!$B$2*Data!AH9,IF(Formulaire!$B$2&lt;Data!$AI$8,Formulaire!$B$2*Data!AI9)))))))))</f>
        <v>18.54</v>
      </c>
      <c r="AC9" s="15">
        <v>18.54</v>
      </c>
      <c r="AD9" s="15">
        <v>16.79</v>
      </c>
      <c r="AE9" s="15">
        <v>15.21</v>
      </c>
      <c r="AF9" s="15">
        <v>15.21</v>
      </c>
      <c r="AG9" s="15">
        <v>8.1300000000000008</v>
      </c>
      <c r="AH9" s="15">
        <v>7.31</v>
      </c>
      <c r="AI9" s="15">
        <v>6.5</v>
      </c>
      <c r="AJ9" s="13" t="str">
        <f t="shared" ref="AJ9:AJ17" si="1">IF($AJ$8="Y","x","")</f>
        <v/>
      </c>
      <c r="AK9" s="13">
        <f>AB9</f>
        <v>18.54</v>
      </c>
      <c r="AL9" s="9">
        <f>IF(Formulaire!B$7&gt;$U9,(Formulaire!B$7-$U9)*$V9,0)</f>
        <v>0</v>
      </c>
      <c r="AM9" s="4">
        <f t="shared" ref="AM9:AM17" si="2">IF(D9="J",E9*3,IF(D9="J/(WE)",E9*3,E9))</f>
        <v>57.317699999999995</v>
      </c>
      <c r="AN9" s="4">
        <f>IF(Formulaire!$B$12=1,Options!$B$8,IF(Formulaire!$B$12=2,Options!$B$9,IF(Formulaire!$B$12=Options!$A$10,Options!$B$10,0)))</f>
        <v>0</v>
      </c>
      <c r="AO9" s="4">
        <f>IF(Formulaire!$B$13=Options!$A$14,Options!$B$14,IF(Formulaire!$B$13=Options!$A$15,Options!$B$15,IF(Formulaire!$B$13=Options!$A$16,Options!$B$16,IF(Formulaire!$B$13=Options!$A$17,Options!$B$17,0))))</f>
        <v>0</v>
      </c>
      <c r="AP9" s="4">
        <f>IF(Formulaire!$B$14="NON",0,IF(Formulaire!$B$15="NON",0,VLOOKUP(CONCATENATE(Formulaire!$B$14," ",Formulaire!$B$15),Options!$A$25:$B$33,2)))</f>
        <v>0</v>
      </c>
      <c r="AQ9" s="37">
        <f>IF($AJ9="x",$AM9+AL9+$AK9+$T9+$AN9+$AO9+$AP9+Options!$A$12,$AM9+AL9+$T9+$AN9+$AO9+$AP9+Options!$A$12)</f>
        <v>62.157699999999991</v>
      </c>
      <c r="AR9" s="37">
        <f>AQ9/$C9</f>
        <v>10.359616666666666</v>
      </c>
      <c r="AS9" s="38">
        <f t="shared" ref="AS9:AS17" si="3">AR9*B9</f>
        <v>103.59616666666666</v>
      </c>
      <c r="AT9" s="39">
        <f>(AQ14/AQ9)-1</f>
        <v>5.2908547555228669E-2</v>
      </c>
      <c r="AU9" s="49" t="str">
        <f>TEXT(AT9,"0,00%")</f>
        <v>5,29%</v>
      </c>
    </row>
    <row r="10" spans="1:47" x14ac:dyDescent="0.25">
      <c r="A10" s="24" t="s">
        <v>51</v>
      </c>
      <c r="B10" s="22">
        <v>10</v>
      </c>
      <c r="C10" s="21">
        <v>10</v>
      </c>
      <c r="D10" s="2" t="s">
        <v>0</v>
      </c>
      <c r="E10" s="7">
        <f t="shared" ref="E10:E17" si="4">F10*(1+$E$6)</f>
        <v>62.932099999999998</v>
      </c>
      <c r="F10" s="7">
        <f>IF(Formulaire!$B$2=Data!$H$8,Data!$H10,IF(Formulaire!$B$2&lt;=Data!$I$8,Data!$I10*Formulaire!B$2,IF(Formulaire!$B$2&lt;=Data!$J$8,Data!$J10*Formulaire!B$2,IF(Formulaire!$B$2=Data!$K$8,Data!$K10,IF(Formulaire!$B$2&lt;=Data!$L$8,(K10+(Data!$L10*(Formulaire!B$2-$K$8))),IF(Formulaire!$B$2=Data!$M$8,Data!$M10,IF(Formulaire!$B$2&lt;=Data!$N$8,(M10+(Data!$N10*(Formulaire!B$2-$M$8))),IF(Formulaire!$B$2=Data!$O$8,Data!$O10,IF(Formulaire!$B$2&lt;=Data!$P$8,(O10+(Data!$P10*(Formulaire!B$2-$O$8))),IF(Formulaire!$B$2="Sur demande",""))))))))))</f>
        <v>52.01</v>
      </c>
      <c r="G10" s="7"/>
      <c r="H10" s="7">
        <f>(107.35)</f>
        <v>107.35</v>
      </c>
      <c r="I10" s="56">
        <v>52.01</v>
      </c>
      <c r="J10" s="56">
        <v>46.8</v>
      </c>
      <c r="K10" s="56">
        <v>280.86</v>
      </c>
      <c r="L10" s="56">
        <v>34.1</v>
      </c>
      <c r="M10" s="56">
        <v>519.55999999999995</v>
      </c>
      <c r="N10" s="57">
        <v>31.81</v>
      </c>
      <c r="O10" s="57">
        <v>742.22</v>
      </c>
      <c r="P10" s="57">
        <v>35.340000000000003</v>
      </c>
      <c r="Q10" s="7" t="str">
        <f t="shared" si="0"/>
        <v/>
      </c>
      <c r="R10" s="7">
        <f>IF(Formulaire!$B$8=Options!$A$4,Options!$B$4,IF(Formulaire!$B$8=Options!$A$5,Options!$B$5,Options!$B$3))</f>
        <v>0</v>
      </c>
      <c r="S10" s="4">
        <f>IF(Formulaire!$B$2="WE",Data!R10*3,IF(Formulaire!$B$2="Sur demande","",IF(Formulaire!$B$2&gt;=10,Data!R10*10,IF(Formulaire!$B$2&lt;10,Data!R10*Formulaire!$B$2))))</f>
        <v>0</v>
      </c>
      <c r="T10" s="6">
        <f t="shared" ref="T10:T17" si="5">S10</f>
        <v>0</v>
      </c>
      <c r="U10" s="12">
        <f>IF(Formulaire!$B$2=Data!$H$8,3*$U$6,IF(Formulaire!$B$2="Sur demande","",Formulaire!$B$2*$U$6))</f>
        <v>120</v>
      </c>
      <c r="V10" s="8">
        <v>0.21</v>
      </c>
      <c r="W10" s="8">
        <v>1500</v>
      </c>
      <c r="X10" s="16">
        <v>450</v>
      </c>
      <c r="Y10" s="18">
        <v>2250</v>
      </c>
      <c r="Z10" s="18">
        <v>2250</v>
      </c>
      <c r="AA10" s="15">
        <v>450</v>
      </c>
      <c r="AB10" s="15">
        <f>IF(Formulaire!$B$2="WE",Data!AC10*4,IF(Formulaire!$B$2="Sur demande","",IF(Formulaire!$B$2&lt;Data!$AC$8,Formulaire!$B$2*Data!AC10,IF(Formulaire!$B$2&lt;Data!$AD$8,Formulaire!$B$2*Data!AD10,IF(Formulaire!$B$2&lt;Data!$AE$8,Formulaire!$B$2*Data!AE10,IF(Formulaire!$B$2&lt;Data!$AF$8,Formulaire!$B$2*Data!AF10,IF(Formulaire!$B$2&lt;Data!$AG$8,Formulaire!$B$2*Data!AG10,IF(Formulaire!$B$2&lt;Data!$AH$8,Formulaire!$B$2*Data!AH10,IF(Formulaire!$B$2&lt;Data!$AI$8,Formulaire!$B$2*Data!AI10)))))))))</f>
        <v>23.69</v>
      </c>
      <c r="AC10" s="15">
        <v>23.69</v>
      </c>
      <c r="AD10" s="15">
        <v>21.42</v>
      </c>
      <c r="AE10" s="15">
        <v>19.38</v>
      </c>
      <c r="AF10" s="15">
        <v>19.38</v>
      </c>
      <c r="AG10" s="15">
        <v>10.210000000000001</v>
      </c>
      <c r="AH10" s="15">
        <v>9.19</v>
      </c>
      <c r="AI10" s="15">
        <v>8.17</v>
      </c>
      <c r="AJ10" s="13" t="str">
        <f t="shared" si="1"/>
        <v/>
      </c>
      <c r="AK10" s="13">
        <f t="shared" ref="AK10:AK17" si="6">AB10</f>
        <v>23.69</v>
      </c>
      <c r="AL10" s="9">
        <f>IF(Formulaire!B$7&gt;$U10,(Formulaire!B$7-$U10)*$V10,0)</f>
        <v>0</v>
      </c>
      <c r="AM10" s="4">
        <f t="shared" si="2"/>
        <v>62.932099999999998</v>
      </c>
      <c r="AN10" s="4">
        <f>IF(Formulaire!$B$12=1,Options!$B$8,IF(Formulaire!$B$12=2,Options!$B$9,IF(Formulaire!$B$12=Options!$A$10,Options!$B$10,0)))</f>
        <v>0</v>
      </c>
      <c r="AO10" s="4">
        <f>IF(Formulaire!$B$13=Options!$A$14,Options!$B$14,IF(Formulaire!$B$13=Options!$A$15,Options!$B$15,IF(Formulaire!$B$13=Options!$A$16,Options!$B$16,IF(Formulaire!$B$13=Options!$A$17,Options!$B$17,0))))</f>
        <v>0</v>
      </c>
      <c r="AP10" s="4">
        <f>IF(Formulaire!$B$14="NON",0,IF(Formulaire!$B$15="NON",0,VLOOKUP(CONCATENATE(Formulaire!$B$14," ",Formulaire!$B$15),Options!$A$25:$B$33,2)))</f>
        <v>0</v>
      </c>
      <c r="AQ10" s="37">
        <f>IF($AJ10="x",$AM10+AL10+$AK10+$T10+$AN10+$AO10+$AP10+Options!$A$12,$AM10+AL10+$T10+$AN10+$AO10+$AP10+Options!$A$12)</f>
        <v>67.772099999999995</v>
      </c>
      <c r="AR10" s="37">
        <f t="shared" ref="AR10:AR17" si="7">AQ10/$C10</f>
        <v>6.7772099999999993</v>
      </c>
      <c r="AS10" s="38">
        <f t="shared" si="3"/>
        <v>67.772099999999995</v>
      </c>
      <c r="AT10" s="39">
        <f>(AQ15/AQ10)-1</f>
        <v>0.17757621774761589</v>
      </c>
      <c r="AU10" s="49" t="str">
        <f t="shared" ref="AU10:AU17" si="8">TEXT(AT10,"0,00%")</f>
        <v>17,76%</v>
      </c>
    </row>
    <row r="11" spans="1:47" x14ac:dyDescent="0.25">
      <c r="A11" s="24" t="s">
        <v>52</v>
      </c>
      <c r="B11" s="22">
        <v>15</v>
      </c>
      <c r="C11" s="21">
        <v>12</v>
      </c>
      <c r="D11" s="2" t="s">
        <v>0</v>
      </c>
      <c r="E11" s="7">
        <f t="shared" si="4"/>
        <v>73.531700000000001</v>
      </c>
      <c r="F11" s="7">
        <f>IF(Formulaire!$B$2=Data!$H$8,Data!$H11,IF(Formulaire!$B$2&lt;=Data!$I$8,Data!$I11*Formulaire!B$2,IF(Formulaire!$B$2&lt;=Data!$J$8,Data!$J11*Formulaire!B$2,IF(Formulaire!$B$2=Data!$K$8,Data!$K11,IF(Formulaire!$B$2&lt;=Data!$L$8,(K11+(Data!$L11*(Formulaire!B$2-$K$8))),IF(Formulaire!$B$2=Data!$M$8,Data!$M11,IF(Formulaire!$B$2&lt;=Data!$N$8,(M11+(Data!$N11*(Formulaire!B$2-$M$8))),IF(Formulaire!$B$2=Data!$O$8,Data!$O11,IF(Formulaire!$B$2&lt;=Data!$P$8,(O11+(Data!$P11*(Formulaire!B$2-$O$8))),IF(Formulaire!$B$2="Sur demande",""))))))))))</f>
        <v>60.77</v>
      </c>
      <c r="G11" s="7"/>
      <c r="H11" s="7">
        <f>125.43</f>
        <v>125.43</v>
      </c>
      <c r="I11" s="56">
        <v>60.77</v>
      </c>
      <c r="J11" s="56">
        <v>54.69</v>
      </c>
      <c r="K11" s="56">
        <v>328.18</v>
      </c>
      <c r="L11" s="56">
        <v>39.840000000000003</v>
      </c>
      <c r="M11" s="56">
        <v>607.08000000000004</v>
      </c>
      <c r="N11" s="57">
        <v>37.17</v>
      </c>
      <c r="O11" s="57">
        <v>867.26</v>
      </c>
      <c r="P11" s="57">
        <v>41.3</v>
      </c>
      <c r="Q11" s="7" t="str">
        <f t="shared" si="0"/>
        <v/>
      </c>
      <c r="R11" s="7">
        <f>IF(Formulaire!$B$8=Options!$A$4,Options!$B$4,IF(Formulaire!$B$8=Options!$A$5,Options!$B$5,Options!$B$3))</f>
        <v>0</v>
      </c>
      <c r="S11" s="4">
        <f>IF(Formulaire!$B$2="WE",Data!R11*3,IF(Formulaire!$B$2="Sur demande","",IF(Formulaire!$B$2&gt;=10,Data!R11*10,IF(Formulaire!$B$2&lt;10,Data!R11*Formulaire!$B$2))))</f>
        <v>0</v>
      </c>
      <c r="T11" s="6">
        <f t="shared" si="5"/>
        <v>0</v>
      </c>
      <c r="U11" s="12">
        <f>IF(Formulaire!$B$2=Data!$H$8,3*$U$6,IF(Formulaire!$B$2="Sur demande","",Formulaire!$B$2*$U$6))</f>
        <v>120</v>
      </c>
      <c r="V11" s="8">
        <v>0.28999999999999998</v>
      </c>
      <c r="W11" s="8">
        <v>1500</v>
      </c>
      <c r="X11" s="16">
        <v>500</v>
      </c>
      <c r="Y11" s="18">
        <v>2250</v>
      </c>
      <c r="Z11" s="19">
        <v>2250</v>
      </c>
      <c r="AA11" s="15">
        <v>450</v>
      </c>
      <c r="AB11" s="15">
        <f>IF(Formulaire!$B$2="WE",Data!AC11*4,IF(Formulaire!$B$2="Sur demande","",IF(Formulaire!$B$2&lt;Data!$AC$8,Formulaire!$B$2*Data!AC11,IF(Formulaire!$B$2&lt;Data!$AD$8,Formulaire!$B$2*Data!AD11,IF(Formulaire!$B$2&lt;Data!$AE$8,Formulaire!$B$2*Data!AE11,IF(Formulaire!$B$2&lt;Data!$AF$8,Formulaire!$B$2*Data!AF11,IF(Formulaire!$B$2&lt;Data!$AG$8,Formulaire!$B$2*Data!AG11,IF(Formulaire!$B$2&lt;Data!$AH$8,Formulaire!$B$2*Data!AH11,IF(Formulaire!$B$2&lt;Data!$AI$8,Formulaire!$B$2*Data!AI11)))))))))</f>
        <v>24.72</v>
      </c>
      <c r="AC11" s="15">
        <v>24.72</v>
      </c>
      <c r="AD11" s="15">
        <v>22.35</v>
      </c>
      <c r="AE11" s="15">
        <v>20.22</v>
      </c>
      <c r="AF11" s="15">
        <v>20.22</v>
      </c>
      <c r="AG11" s="15">
        <v>10.63</v>
      </c>
      <c r="AH11" s="15">
        <v>9.57</v>
      </c>
      <c r="AI11" s="15">
        <v>8.5</v>
      </c>
      <c r="AJ11" s="13" t="str">
        <f t="shared" si="1"/>
        <v/>
      </c>
      <c r="AK11" s="13">
        <f t="shared" si="6"/>
        <v>24.72</v>
      </c>
      <c r="AL11" s="9">
        <f>IF(Formulaire!B$7&gt;$U11,(Formulaire!B$7-$U11)*$V11,0)</f>
        <v>0</v>
      </c>
      <c r="AM11" s="4">
        <f t="shared" si="2"/>
        <v>73.531700000000001</v>
      </c>
      <c r="AN11" s="4">
        <f>IF(Formulaire!$B$12=1,Options!$B$8,IF(Formulaire!$B$12=2,Options!$B$9,IF(Formulaire!$B$12=Options!$A$10,Options!$B$10,0)))</f>
        <v>0</v>
      </c>
      <c r="AO11" s="4">
        <f>IF(Formulaire!$B$13=Options!$A$14,Options!$B$14,IF(Formulaire!$B$13=Options!$A$15,Options!$B$15,IF(Formulaire!$B$13=Options!$A$16,Options!$B$16,IF(Formulaire!$B$13=Options!$A$17,Options!$B$17,0))))</f>
        <v>0</v>
      </c>
      <c r="AP11" s="4">
        <f>IF(Formulaire!$B$14="NON",0,IF(Formulaire!$B$15="NON",0,VLOOKUP(CONCATENATE(Formulaire!$B$14," ",Formulaire!$B$15),Options!$A$25:$B$33,2)))</f>
        <v>0</v>
      </c>
      <c r="AQ11" s="37">
        <f>IF($AJ11="x",$AM11+AL11+$AK11+$T11+$AN11+$AO11+$AP11+Options!$A$12,$AM11+AL11+$T11+$AN11+$AO11+$AP11+Options!$A$12)</f>
        <v>78.371700000000004</v>
      </c>
      <c r="AR11" s="37">
        <f t="shared" si="7"/>
        <v>6.5309750000000006</v>
      </c>
      <c r="AS11" s="38">
        <f t="shared" si="3"/>
        <v>97.964625000000012</v>
      </c>
      <c r="AT11" s="39">
        <f>(AQ16/AQ11)-1</f>
        <v>0.14046830119085785</v>
      </c>
      <c r="AU11" s="49" t="str">
        <f t="shared" si="8"/>
        <v>14,05%</v>
      </c>
    </row>
    <row r="12" spans="1:47" x14ac:dyDescent="0.25">
      <c r="A12" s="24" t="s">
        <v>53</v>
      </c>
      <c r="B12" s="22">
        <v>20</v>
      </c>
      <c r="C12" s="21">
        <v>18</v>
      </c>
      <c r="D12" s="2" t="s">
        <v>0</v>
      </c>
      <c r="E12" s="7">
        <f t="shared" si="4"/>
        <v>87.785499999999999</v>
      </c>
      <c r="F12" s="7">
        <f>IF(Formulaire!$B$2=Data!$H$8,Data!$H12,IF(Formulaire!$B$2&lt;=Data!$I$8,Data!$I12*Formulaire!B$2,IF(Formulaire!$B$2&lt;=Data!$J$8,Data!$J12*Formulaire!B$2,IF(Formulaire!$B$2=Data!$K$8,Data!$K12,IF(Formulaire!$B$2&lt;=Data!$L$8,(K12+(Data!$L12*(Formulaire!B$2-$K$8))),IF(Formulaire!$B$2=Data!$M$8,Data!$M12,IF(Formulaire!$B$2&lt;=Data!$N$8,(M12+(Data!$N12*(Formulaire!B$2-$M$8))),IF(Formulaire!$B$2=Data!$O$8,Data!$O12,IF(Formulaire!$B$2&lt;=Data!$P$8,(O12+(Data!$P12*(Formulaire!B$2-$O$8))),IF(Formulaire!$B$2="Sur demande",""))))))))))</f>
        <v>72.55</v>
      </c>
      <c r="G12" s="7"/>
      <c r="H12" s="7">
        <f>149.74</f>
        <v>149.74</v>
      </c>
      <c r="I12" s="56">
        <v>72.55</v>
      </c>
      <c r="J12" s="56">
        <v>70.930000000000007</v>
      </c>
      <c r="K12" s="56">
        <v>485.14</v>
      </c>
      <c r="L12" s="56">
        <v>46.7</v>
      </c>
      <c r="M12" s="56">
        <v>812.06</v>
      </c>
      <c r="N12" s="57">
        <v>49.72</v>
      </c>
      <c r="O12" s="57">
        <v>1160.0899999999999</v>
      </c>
      <c r="P12" s="57">
        <v>55.24</v>
      </c>
      <c r="Q12" s="7" t="str">
        <f t="shared" si="0"/>
        <v/>
      </c>
      <c r="R12" s="7">
        <f>IF(Formulaire!$B$8=Options!$A$4,Options!$B$4,IF(Formulaire!$B$8=Options!$A$5,Options!$B$5,Options!$B$3))</f>
        <v>0</v>
      </c>
      <c r="S12" s="4">
        <f>IF(Formulaire!$B$2="WE",Data!R12*3,IF(Formulaire!$B$2="Sur demande","",IF(Formulaire!$B$2&gt;=10,Data!R12*10,IF(Formulaire!$B$2&lt;10,Data!R12*Formulaire!$B$2))))</f>
        <v>0</v>
      </c>
      <c r="T12" s="6">
        <f t="shared" si="5"/>
        <v>0</v>
      </c>
      <c r="U12" s="12">
        <f>IF(Formulaire!$B$2=Data!$H$8,3*$U$6,IF(Formulaire!$B$2="Sur demande","",Formulaire!$B$2*$U$6))</f>
        <v>120</v>
      </c>
      <c r="V12" s="8">
        <v>0.31</v>
      </c>
      <c r="W12" s="8">
        <v>1500</v>
      </c>
      <c r="X12" s="16">
        <v>550</v>
      </c>
      <c r="Y12" s="18">
        <v>2750</v>
      </c>
      <c r="Z12" s="19">
        <v>2750</v>
      </c>
      <c r="AA12" s="15">
        <v>550</v>
      </c>
      <c r="AB12" s="15">
        <f>IF(Formulaire!$B$2="WE",Data!AC12*4,IF(Formulaire!$B$2="Sur demande","",IF(Formulaire!$B$2&lt;Data!$AC$8,Formulaire!$B$2*Data!AC12,IF(Formulaire!$B$2&lt;Data!$AD$8,Formulaire!$B$2*Data!AD12,IF(Formulaire!$B$2&lt;Data!$AE$8,Formulaire!$B$2*Data!AE12,IF(Formulaire!$B$2&lt;Data!$AF$8,Formulaire!$B$2*Data!AF12,IF(Formulaire!$B$2&lt;Data!$AG$8,Formulaire!$B$2*Data!AG12,IF(Formulaire!$B$2&lt;Data!$AH$8,Formulaire!$B$2*Data!AH12,IF(Formulaire!$B$2&lt;Data!$AI$8,Formulaire!$B$2*Data!AI12)))))))))</f>
        <v>29.87</v>
      </c>
      <c r="AC12" s="15">
        <v>29.87</v>
      </c>
      <c r="AD12" s="15">
        <v>26.99</v>
      </c>
      <c r="AE12" s="15">
        <v>24.39</v>
      </c>
      <c r="AF12" s="15">
        <v>24.39</v>
      </c>
      <c r="AG12" s="15">
        <v>12.71</v>
      </c>
      <c r="AH12" s="15">
        <v>11.44</v>
      </c>
      <c r="AI12" s="15">
        <v>10.17</v>
      </c>
      <c r="AJ12" s="13" t="str">
        <f t="shared" si="1"/>
        <v/>
      </c>
      <c r="AK12" s="13">
        <f t="shared" si="6"/>
        <v>29.87</v>
      </c>
      <c r="AL12" s="9">
        <f>IF(Formulaire!B$7&gt;$U12,(Formulaire!B$7-$U12)*$V12,0)</f>
        <v>0</v>
      </c>
      <c r="AM12" s="4">
        <f t="shared" si="2"/>
        <v>87.785499999999999</v>
      </c>
      <c r="AN12" s="4">
        <f>IF(Formulaire!$B$12=1,Options!$B$8,IF(Formulaire!$B$12=2,Options!$B$9,IF(Formulaire!$B$12=Options!$A$10,Options!$B$10,0)))</f>
        <v>0</v>
      </c>
      <c r="AO12" s="4">
        <f>IF(Formulaire!$B$13=Options!$A$14,Options!$B$14,IF(Formulaire!$B$13=Options!$A$15,Options!$B$15,IF(Formulaire!$B$13=Options!$A$16,Options!$B$16,IF(Formulaire!$B$13=Options!$A$17,Options!$B$17,0))))</f>
        <v>0</v>
      </c>
      <c r="AP12" s="4">
        <f>IF(Formulaire!$B$14="NON",0,IF(Formulaire!$B$15="NON",0,VLOOKUP(CONCATENATE(Formulaire!$B$14," ",Formulaire!$B$15),Options!$A$25:$B$33,2)))</f>
        <v>0</v>
      </c>
      <c r="AQ12" s="37">
        <f>IF($AJ12="x",$AM12+AL12+$AK12+$T12+$AN12+$AO12+$AP12+Options!$A$12,$AM12+AL12+$T12+$AN12+$AO12+$AP12+Options!$A$12)</f>
        <v>92.625500000000002</v>
      </c>
      <c r="AR12" s="37">
        <f t="shared" si="7"/>
        <v>5.1458611111111114</v>
      </c>
      <c r="AS12" s="38">
        <f t="shared" si="3"/>
        <v>102.91722222222222</v>
      </c>
      <c r="AT12" s="39">
        <f>(AQ17/AQ12)-1</f>
        <v>0.14311553893526452</v>
      </c>
      <c r="AU12" s="49" t="str">
        <f t="shared" si="8"/>
        <v>14,31%</v>
      </c>
    </row>
    <row r="13" spans="1:47" x14ac:dyDescent="0.25">
      <c r="A13" s="24" t="s">
        <v>54</v>
      </c>
      <c r="B13" s="22">
        <v>40</v>
      </c>
      <c r="C13" s="21">
        <v>44</v>
      </c>
      <c r="D13" s="2" t="s">
        <v>0</v>
      </c>
      <c r="E13" s="7">
        <f t="shared" si="4"/>
        <v>204.86509999999998</v>
      </c>
      <c r="F13" s="7">
        <f>IF(Formulaire!$B$2=Data!$H$8,Data!$H13,IF(Formulaire!$B$2&lt;=Data!$I$8,Data!$I13*Formulaire!B$2,IF(Formulaire!$B$2&lt;=Data!$J$8,Data!$J13*Formulaire!B$2,IF(Formulaire!$B$2=Data!$K$8,Data!$K13,IF(Formulaire!$B$2&lt;=Data!$L$8,(K13+(Data!$L13*(Formulaire!B$2-$K$8))),IF(Formulaire!$B$2=Data!$M$8,Data!$M13,IF(Formulaire!$B$2&lt;=Data!$N$8,(M13+(Data!$N13*(Formulaire!B$2-$M$8))),IF(Formulaire!$B$2=Data!$O$8,Data!$O13,IF(Formulaire!$B$2&lt;=Data!$P$8,(O13+(Data!$P13*(Formulaire!B$2-$O$8))),IF(Formulaire!$B$2="Sur demande",""))))))))))</f>
        <v>169.31</v>
      </c>
      <c r="G13" s="7"/>
      <c r="H13" s="7">
        <f>349.45</f>
        <v>349.45</v>
      </c>
      <c r="I13" s="56">
        <v>169.31</v>
      </c>
      <c r="J13" s="56">
        <v>129.75</v>
      </c>
      <c r="K13" s="56">
        <v>885.13</v>
      </c>
      <c r="L13" s="56">
        <v>113.8</v>
      </c>
      <c r="M13" s="56">
        <v>1681.75</v>
      </c>
      <c r="N13" s="57">
        <v>101.16</v>
      </c>
      <c r="O13" s="57">
        <v>2389.85</v>
      </c>
      <c r="P13" s="57">
        <v>113.8</v>
      </c>
      <c r="Q13" s="7" t="str">
        <f t="shared" si="0"/>
        <v/>
      </c>
      <c r="R13" s="7">
        <f>IF(Formulaire!$B$8=Options!$A$4,Options!$B$4,IF(Formulaire!$B$8=Options!$A$5,Options!$B$5,Options!$B$3))</f>
        <v>0</v>
      </c>
      <c r="S13" s="4">
        <f>IF(Formulaire!$B$2="WE",Data!R13*3,IF(Formulaire!$B$2="Sur demande","",IF(Formulaire!$B$2&gt;=10,Data!R13*10,IF(Formulaire!$B$2&lt;10,Data!R13*Formulaire!$B$2))))</f>
        <v>0</v>
      </c>
      <c r="T13" s="6">
        <f t="shared" si="5"/>
        <v>0</v>
      </c>
      <c r="U13" s="12">
        <f>IF(Formulaire!$B$2=Data!$H$8,3*$U$6,IF(Formulaire!$B$2="Sur demande","",Formulaire!$B$2*$U$6))</f>
        <v>120</v>
      </c>
      <c r="V13" s="8">
        <v>0.31</v>
      </c>
      <c r="W13" s="8">
        <v>1500</v>
      </c>
      <c r="X13" s="16">
        <v>800</v>
      </c>
      <c r="Y13" s="18">
        <v>3500</v>
      </c>
      <c r="Z13" s="19">
        <v>3500</v>
      </c>
      <c r="AA13" s="15">
        <v>675</v>
      </c>
      <c r="AB13" s="15">
        <f>IF(Formulaire!$B$2="WE",Data!AC13*4,IF(Formulaire!$B$2="Sur demande","",IF(Formulaire!$B$2&lt;Data!$AC$8,Formulaire!$B$2*Data!AC13,IF(Formulaire!$B$2&lt;Data!$AD$8,Formulaire!$B$2*Data!AD13,IF(Formulaire!$B$2&lt;Data!$AE$8,Formulaire!$B$2*Data!AE13,IF(Formulaire!$B$2&lt;Data!$AF$8,Formulaire!$B$2*Data!AF13,IF(Formulaire!$B$2&lt;Data!$AG$8,Formulaire!$B$2*Data!AG13,IF(Formulaire!$B$2&lt;Data!$AH$8,Formulaire!$B$2*Data!AH13,IF(Formulaire!$B$2&lt;Data!$AI$8,Formulaire!$B$2*Data!AI13)))))))))</f>
        <v>41.2</v>
      </c>
      <c r="AC13" s="15">
        <v>41.2</v>
      </c>
      <c r="AD13" s="15">
        <v>37.18</v>
      </c>
      <c r="AE13" s="15">
        <v>33.57</v>
      </c>
      <c r="AF13" s="15">
        <v>33.57</v>
      </c>
      <c r="AG13" s="15">
        <v>33.57</v>
      </c>
      <c r="AH13" s="15">
        <v>15.57</v>
      </c>
      <c r="AI13" s="15">
        <v>13.84</v>
      </c>
      <c r="AJ13" s="13" t="str">
        <f t="shared" si="1"/>
        <v/>
      </c>
      <c r="AK13" s="13">
        <f t="shared" si="6"/>
        <v>41.2</v>
      </c>
      <c r="AL13" s="9">
        <f>IF(Formulaire!B$7&gt;$U13,(Formulaire!B$7-$U13)*$V13,0)</f>
        <v>0</v>
      </c>
      <c r="AM13" s="4">
        <f t="shared" si="2"/>
        <v>204.86509999999998</v>
      </c>
      <c r="AN13" s="4">
        <f>IF(Formulaire!$B$12=1,Options!$B$8,IF(Formulaire!$B$12=2,Options!$B$9,IF(Formulaire!$B$12=Options!$A$10,Options!$B$10,0)))</f>
        <v>0</v>
      </c>
      <c r="AO13" s="4">
        <f>IF(Formulaire!$B$13=Options!$A$14,Options!$B$14,IF(Formulaire!$B$13=Options!$A$15,Options!$B$15,IF(Formulaire!$B$13=Options!$A$16,Options!$B$16,IF(Formulaire!$B$13=Options!$A$17,Options!$B$17,0))))</f>
        <v>0</v>
      </c>
      <c r="AP13" s="4">
        <f>IF(Formulaire!$B$14="NON",0,IF(Formulaire!$B$15="NON",0,VLOOKUP(CONCATENATE(Formulaire!$B$14," ",Formulaire!$B$15),Options!$A$25:$B$33,2)))</f>
        <v>0</v>
      </c>
      <c r="AQ13" s="37">
        <f>IF($AJ13="x",$AM13+AL13+$AK13+$T13+$AN13+$AO13+$AP13+Options!$A$12,$AM13+AL13+$T13+$AN13+$AO13+$AP13+Options!$A$12)</f>
        <v>209.70509999999999</v>
      </c>
      <c r="AR13" s="37">
        <f t="shared" si="7"/>
        <v>4.766025</v>
      </c>
      <c r="AS13" s="38">
        <f t="shared" si="3"/>
        <v>190.64099999999999</v>
      </c>
      <c r="AT13" s="39" t="s">
        <v>63</v>
      </c>
      <c r="AU13" s="49" t="str">
        <f t="shared" si="8"/>
        <v>?</v>
      </c>
    </row>
    <row r="14" spans="1:47" x14ac:dyDescent="0.25">
      <c r="A14" s="24" t="s">
        <v>55</v>
      </c>
      <c r="B14" s="22">
        <v>10</v>
      </c>
      <c r="C14" s="20">
        <v>6</v>
      </c>
      <c r="D14" s="1" t="s">
        <v>0</v>
      </c>
      <c r="E14" s="7">
        <f t="shared" si="4"/>
        <v>60.606373626373625</v>
      </c>
      <c r="F14" s="7">
        <f>(IF(Formulaire!$B$2=Data!$H$8,Data!$H14,IF(Formulaire!$B$2&lt;=Data!$I$8,Data!$I14*Formulaire!B$2,IF(Formulaire!$B$2&lt;=Data!$J$8,Data!$J14*Formulaire!B$2,IF(Formulaire!$B$2=Data!$K$8,Data!$K14,IF(Formulaire!$B$2&lt;=Data!$L$8,(K14+(Data!$L14*(Formulaire!B$2-$K$8))),IF(Formulaire!$B$2=Data!$M$8,Data!$M14,IF(Formulaire!$B$2&lt;=Data!$N$8,(M14+(Data!$N14*(Formulaire!B$2-$M$8))),IF(Formulaire!$B$2=Data!$O$8,Data!$O14,IF(Formulaire!$B$2&lt;=Data!$P$8,(O14+(Data!$P14*(Formulaire!B$2-$O$8))),IF(Formulaire!$B$2="Sur demande","")))))))))))/0.91</f>
        <v>50.087912087912088</v>
      </c>
      <c r="G14" s="7"/>
      <c r="H14" s="4">
        <f>124.84/1.21</f>
        <v>103.17355371900827</v>
      </c>
      <c r="I14" s="56">
        <v>45.58</v>
      </c>
      <c r="J14" s="56">
        <v>43.87</v>
      </c>
      <c r="K14" s="56">
        <v>267.85000000000002</v>
      </c>
      <c r="L14" s="56">
        <v>34.11</v>
      </c>
      <c r="M14" s="56">
        <v>491.01</v>
      </c>
      <c r="N14" s="56">
        <v>32.380000000000003</v>
      </c>
      <c r="O14" s="56">
        <v>699.79</v>
      </c>
      <c r="P14" s="56">
        <v>35.72</v>
      </c>
      <c r="Q14" s="7" t="str">
        <f t="shared" si="0"/>
        <v/>
      </c>
      <c r="R14" s="7">
        <f>IF(Formulaire!$B$8=Options!$A$4,Options!$B$4,IF(Formulaire!$B$8=Options!$A$5,Options!$B$5,Options!$B$3))</f>
        <v>0</v>
      </c>
      <c r="S14" s="4">
        <f>IF(Formulaire!$B$2="WE",Data!R14*3,IF(Formulaire!$B$2="Sur demande","",IF(Formulaire!$B$2&gt;=10,Data!R14*10,IF(Formulaire!$B$2&lt;10,Data!R14*Formulaire!$B$2))))</f>
        <v>0</v>
      </c>
      <c r="T14" s="6">
        <f t="shared" si="5"/>
        <v>0</v>
      </c>
      <c r="U14" s="12">
        <f>IF(Formulaire!$B$2=Data!$H$8,3*$U$6,IF(Formulaire!$B$2="Sur demande","",Formulaire!$B$2*$U$6))</f>
        <v>120</v>
      </c>
      <c r="V14" s="8">
        <v>0.19</v>
      </c>
      <c r="W14" s="8">
        <v>1500</v>
      </c>
      <c r="X14" s="16">
        <v>450</v>
      </c>
      <c r="Y14" s="18">
        <v>1750</v>
      </c>
      <c r="Z14" s="18">
        <v>1750</v>
      </c>
      <c r="AA14" s="15">
        <v>350</v>
      </c>
      <c r="AB14" s="15">
        <f>IF(Formulaire!$B$2="WE",Data!AC14*4,IF(Formulaire!$B$2="Sur demande","",IF(Formulaire!$B$2&lt;Data!$AC$8,Formulaire!$B$2*Data!AC14,IF(Formulaire!$B$2&lt;Data!$AD$8,Formulaire!$B$2*Data!AD14,IF(Formulaire!$B$2&lt;Data!$AE$8,Formulaire!$B$2*Data!AE14,IF(Formulaire!$B$2&lt;Data!$AF$8,Formulaire!$B$2*Data!AF14,IF(Formulaire!$B$2&lt;Data!$AG$8,Formulaire!$B$2*Data!AG14,IF(Formulaire!$B$2&lt;Data!$AH$8,Formulaire!$B$2*Data!AH14,IF(Formulaire!$B$2&lt;Data!$AI$8,Formulaire!$B$2*Data!AI14)))))))))</f>
        <v>18.54</v>
      </c>
      <c r="AC14" s="15">
        <v>18.54</v>
      </c>
      <c r="AD14" s="15">
        <v>16.79</v>
      </c>
      <c r="AE14" s="15">
        <v>15.21</v>
      </c>
      <c r="AF14" s="15">
        <v>15.21</v>
      </c>
      <c r="AG14" s="15">
        <v>8.1300000000000008</v>
      </c>
      <c r="AH14" s="15">
        <v>7.31</v>
      </c>
      <c r="AI14" s="15">
        <v>6.5</v>
      </c>
      <c r="AJ14" s="13" t="str">
        <f t="shared" si="1"/>
        <v/>
      </c>
      <c r="AK14" s="13">
        <f t="shared" si="6"/>
        <v>18.54</v>
      </c>
      <c r="AL14" s="9">
        <f>IF(Formulaire!B$7&gt;$U14,(Formulaire!B$7-$U14)*$V14,0)</f>
        <v>0</v>
      </c>
      <c r="AM14" s="4">
        <f t="shared" si="2"/>
        <v>60.606373626373625</v>
      </c>
      <c r="AN14" s="4">
        <f>IF(Formulaire!$B$12=1,Options!$B$8,IF(Formulaire!$B$12=2,Options!$B$9,IF(Formulaire!$B$12=Options!$A$10,Options!$B$10,0)))</f>
        <v>0</v>
      </c>
      <c r="AO14" s="4">
        <f>IF(Formulaire!$B$13=Options!$A$14,Options!$B$14,IF(Formulaire!$B$13=Options!$A$15,Options!$B$15,IF(Formulaire!$B$13=Options!$A$16,Options!$B$16,IF(Formulaire!$B$13=Options!$A$17,Options!$B$17,0))))</f>
        <v>0</v>
      </c>
      <c r="AP14" s="4">
        <f>IF(Formulaire!$B$14="NON",0,IF(Formulaire!$B$15="NON",0,VLOOKUP(CONCATENATE(Formulaire!$B$14," ",Formulaire!$B$15),Options!$A$25:$B$33,2)))</f>
        <v>0</v>
      </c>
      <c r="AQ14" s="37">
        <f>IF($AJ14="x",$AM14+AL14+$AK14+$T14+$AN14+$AO14+$AP14+Options!$A$12,$AM14+AL14+$T14+$AN14+$AO14+$AP14+Options!$A$12)</f>
        <v>65.446373626373628</v>
      </c>
      <c r="AR14" s="37">
        <f t="shared" si="7"/>
        <v>10.907728937728939</v>
      </c>
      <c r="AS14" s="38">
        <f t="shared" si="3"/>
        <v>109.07728937728939</v>
      </c>
      <c r="AT14" s="39">
        <f>(AQ14/AQ14)-1</f>
        <v>0</v>
      </c>
      <c r="AU14" s="49" t="str">
        <f t="shared" si="8"/>
        <v>0,00%</v>
      </c>
    </row>
    <row r="15" spans="1:47" x14ac:dyDescent="0.25">
      <c r="A15" s="24" t="s">
        <v>56</v>
      </c>
      <c r="B15" s="22">
        <v>10</v>
      </c>
      <c r="C15" s="20">
        <v>10</v>
      </c>
      <c r="D15" s="1" t="s">
        <v>0</v>
      </c>
      <c r="E15" s="7">
        <f t="shared" si="4"/>
        <v>74.966813186813184</v>
      </c>
      <c r="F15" s="7">
        <f>(IF(Formulaire!$B$2=Data!$H$8,Data!$H15,IF(Formulaire!$B$2&lt;=Data!$I$8,Data!$I15*Formulaire!B$2,IF(Formulaire!$B$2&lt;=Data!$J$8,Data!$J15*Formulaire!B$2,IF(Formulaire!$B$2=Data!$K$8,Data!$K15,IF(Formulaire!$B$2&lt;=Data!$L$8,(K15+(Data!$L15*(Formulaire!B$2-$K$8))),IF(Formulaire!$B$2=Data!$M$8,Data!$M15,IF(Formulaire!$B$2&lt;=Data!$N$8,(M15+(Data!$N15*(Formulaire!B$2-$M$8))),IF(Formulaire!$B$2=Data!$O$8,Data!$O15,IF(Formulaire!$B$2&lt;=Data!$P$8,(O15+(Data!$P15*(Formulaire!B$2-$O$8))),IF(Formulaire!$B$2="Sur demande","")))))))))))/0.91</f>
        <v>61.956043956043956</v>
      </c>
      <c r="G15" s="7"/>
      <c r="H15" s="4">
        <f>156.3/1.21</f>
        <v>129.17355371900828</v>
      </c>
      <c r="I15" s="56">
        <v>56.38</v>
      </c>
      <c r="J15" s="56">
        <v>48.84</v>
      </c>
      <c r="K15" s="56">
        <v>332.01</v>
      </c>
      <c r="L15" s="56">
        <v>37.46</v>
      </c>
      <c r="M15" s="56">
        <v>538.69000000000005</v>
      </c>
      <c r="N15" s="56">
        <v>35.53</v>
      </c>
      <c r="O15" s="56">
        <v>767.85</v>
      </c>
      <c r="P15" s="56">
        <v>39.200000000000003</v>
      </c>
      <c r="Q15" s="7" t="str">
        <f t="shared" si="0"/>
        <v/>
      </c>
      <c r="R15" s="7">
        <f>IF(Formulaire!$B$8=Options!$A$4,Options!$B$4,IF(Formulaire!$B$8=Options!$A$5,Options!$B$5,Options!$B$3))</f>
        <v>0</v>
      </c>
      <c r="S15" s="4">
        <f>IF(Formulaire!$B$2="WE",Data!R15*3,IF(Formulaire!$B$2="Sur demande","",IF(Formulaire!$B$2&gt;=10,Data!R15*10,IF(Formulaire!$B$2&lt;10,Data!R15*Formulaire!$B$2))))</f>
        <v>0</v>
      </c>
      <c r="T15" s="6">
        <f t="shared" si="5"/>
        <v>0</v>
      </c>
      <c r="U15" s="12">
        <f>IF(Formulaire!$B$2=Data!$H$8,3*$U$6,IF(Formulaire!$B$2="Sur demande","",Formulaire!$B$2*$U$6))</f>
        <v>120</v>
      </c>
      <c r="V15" s="8">
        <v>0.21</v>
      </c>
      <c r="W15" s="8">
        <v>1500</v>
      </c>
      <c r="X15" s="16">
        <v>450</v>
      </c>
      <c r="Y15" s="18">
        <v>2250</v>
      </c>
      <c r="Z15" s="18">
        <v>2250</v>
      </c>
      <c r="AA15" s="15">
        <v>450</v>
      </c>
      <c r="AB15" s="15">
        <f>IF(Formulaire!$B$2="WE",Data!AC15*4,IF(Formulaire!$B$2="Sur demande","",IF(Formulaire!$B$2&lt;Data!$AC$8,Formulaire!$B$2*Data!AC15,IF(Formulaire!$B$2&lt;Data!$AD$8,Formulaire!$B$2*Data!AD15,IF(Formulaire!$B$2&lt;Data!$AE$8,Formulaire!$B$2*Data!AE15,IF(Formulaire!$B$2&lt;Data!$AF$8,Formulaire!$B$2*Data!AF15,IF(Formulaire!$B$2&lt;Data!$AG$8,Formulaire!$B$2*Data!AG15,IF(Formulaire!$B$2&lt;Data!$AH$8,Formulaire!$B$2*Data!AH15,IF(Formulaire!$B$2&lt;Data!$AI$8,Formulaire!$B$2*Data!AI15)))))))))</f>
        <v>23.69</v>
      </c>
      <c r="AC15" s="15">
        <v>23.69</v>
      </c>
      <c r="AD15" s="15">
        <v>21.42</v>
      </c>
      <c r="AE15" s="15">
        <v>19.38</v>
      </c>
      <c r="AF15" s="15">
        <v>19.38</v>
      </c>
      <c r="AG15" s="15">
        <v>10.210000000000001</v>
      </c>
      <c r="AH15" s="15">
        <v>9.19</v>
      </c>
      <c r="AI15" s="15">
        <v>8.17</v>
      </c>
      <c r="AJ15" s="13" t="str">
        <f t="shared" si="1"/>
        <v/>
      </c>
      <c r="AK15" s="13">
        <f t="shared" si="6"/>
        <v>23.69</v>
      </c>
      <c r="AL15" s="9">
        <f>IF(Formulaire!B$7&gt;$U15,(Formulaire!B$7-$U15)*$V15,0)</f>
        <v>0</v>
      </c>
      <c r="AM15" s="4">
        <f t="shared" si="2"/>
        <v>74.966813186813184</v>
      </c>
      <c r="AN15" s="4">
        <f>IF(Formulaire!$B$12=1,Options!$B$8,IF(Formulaire!$B$12=2,Options!$B$9,IF(Formulaire!$B$12=Options!$A$10,Options!$B$10,0)))</f>
        <v>0</v>
      </c>
      <c r="AO15" s="4">
        <f>IF(Formulaire!$B$13=Options!$A$14,Options!$B$14,IF(Formulaire!$B$13=Options!$A$15,Options!$B$15,IF(Formulaire!$B$13=Options!$A$16,Options!$B$16,IF(Formulaire!$B$13=Options!$A$17,Options!$B$17,0))))</f>
        <v>0</v>
      </c>
      <c r="AP15" s="4">
        <f>IF(Formulaire!$B$14="NON",0,IF(Formulaire!$B$15="NON",0,VLOOKUP(CONCATENATE(Formulaire!$B$14," ",Formulaire!$B$15),Options!$A$25:$B$33,2)))</f>
        <v>0</v>
      </c>
      <c r="AQ15" s="37">
        <f>IF($AJ15="x",$AM15+AL15+$AK15+$T15+$AN15+$AO15+$AP15+Options!$A$12,$AM15+AL15+$T15+$AN15+$AO15+$AP15+Options!$A$12)</f>
        <v>79.806813186813187</v>
      </c>
      <c r="AR15" s="37">
        <f t="shared" si="7"/>
        <v>7.9806813186813184</v>
      </c>
      <c r="AS15" s="38">
        <f t="shared" si="3"/>
        <v>79.806813186813187</v>
      </c>
      <c r="AT15" s="39">
        <f t="shared" ref="AT15:AT17" si="9">(AQ15/AQ15)-1</f>
        <v>0</v>
      </c>
      <c r="AU15" s="49" t="str">
        <f t="shared" si="8"/>
        <v>0,00%</v>
      </c>
    </row>
    <row r="16" spans="1:47" x14ac:dyDescent="0.25">
      <c r="A16" s="24" t="s">
        <v>57</v>
      </c>
      <c r="B16" s="22">
        <v>15</v>
      </c>
      <c r="C16" s="20">
        <v>12</v>
      </c>
      <c r="D16" s="1" t="s">
        <v>0</v>
      </c>
      <c r="E16" s="7">
        <f t="shared" si="4"/>
        <v>84.540439560439552</v>
      </c>
      <c r="F16" s="7">
        <f>(IF(Formulaire!$B$2=Data!$H$8,Data!$H16,IF(Formulaire!$B$2&lt;=Data!$I$8,Data!$I16*Formulaire!B$2,IF(Formulaire!$B$2&lt;=Data!$J$8,Data!$J16*Formulaire!B$2,IF(Formulaire!$B$2=Data!$K$8,Data!$K16,IF(Formulaire!$B$2&lt;=Data!$L$8,(K16+(Data!$L16*(Formulaire!B$2-$K$8))),IF(Formulaire!$B$2=Data!$M$8,Data!$M16,IF(Formulaire!$B$2&lt;=Data!$N$8,(M16+(Data!$N16*(Formulaire!B$2-$M$8))),IF(Formulaire!$B$2=Data!$O$8,Data!$O16,IF(Formulaire!$B$2&lt;=Data!$P$8,(O16+(Data!$P16*(Formulaire!B$2-$O$8))),IF(Formulaire!$B$2="Sur demande","")))))))))))/0.91</f>
        <v>69.868131868131869</v>
      </c>
      <c r="G16" s="7"/>
      <c r="H16" s="4">
        <f>186.55/1.21</f>
        <v>154.17355371900828</v>
      </c>
      <c r="I16" s="56">
        <v>63.58</v>
      </c>
      <c r="J16" s="56">
        <v>56.96</v>
      </c>
      <c r="K16" s="56">
        <v>350.61</v>
      </c>
      <c r="L16" s="56">
        <v>43.02</v>
      </c>
      <c r="M16" s="56">
        <v>628.77</v>
      </c>
      <c r="N16" s="56">
        <v>41.48</v>
      </c>
      <c r="O16" s="56">
        <v>896.53</v>
      </c>
      <c r="P16" s="56">
        <v>45.78</v>
      </c>
      <c r="Q16" s="7" t="str">
        <f t="shared" si="0"/>
        <v/>
      </c>
      <c r="R16" s="7">
        <f>IF(Formulaire!$B$8=Options!$A$4,Options!$B$4,IF(Formulaire!$B$8=Options!$A$5,Options!$B$5,Options!$B$3))</f>
        <v>0</v>
      </c>
      <c r="S16" s="4">
        <f>IF(Formulaire!$B$2="WE",Data!R16*3,IF(Formulaire!$B$2="Sur demande","",IF(Formulaire!$B$2&gt;=10,Data!R16*10,IF(Formulaire!$B$2&lt;10,Data!R16*Formulaire!$B$2))))</f>
        <v>0</v>
      </c>
      <c r="T16" s="6">
        <f t="shared" si="5"/>
        <v>0</v>
      </c>
      <c r="U16" s="12">
        <f>IF(Formulaire!$B$2=Data!$H$8,3*$U$6,IF(Formulaire!$B$2="Sur demande","",Formulaire!$B$2*$U$6))</f>
        <v>120</v>
      </c>
      <c r="V16" s="8">
        <v>0.28999999999999998</v>
      </c>
      <c r="W16" s="8">
        <v>1500</v>
      </c>
      <c r="X16" s="16">
        <v>500</v>
      </c>
      <c r="Y16" s="18">
        <v>2250</v>
      </c>
      <c r="Z16" s="19">
        <v>2250</v>
      </c>
      <c r="AA16" s="15">
        <v>450</v>
      </c>
      <c r="AB16" s="15">
        <f>IF(Formulaire!$B$2="WE",Data!AC16*4,IF(Formulaire!$B$2="Sur demande","",IF(Formulaire!$B$2&lt;Data!$AC$8,Formulaire!$B$2*Data!AC16,IF(Formulaire!$B$2&lt;Data!$AD$8,Formulaire!$B$2*Data!AD16,IF(Formulaire!$B$2&lt;Data!$AE$8,Formulaire!$B$2*Data!AE16,IF(Formulaire!$B$2&lt;Data!$AF$8,Formulaire!$B$2*Data!AF16,IF(Formulaire!$B$2&lt;Data!$AG$8,Formulaire!$B$2*Data!AG16,IF(Formulaire!$B$2&lt;Data!$AH$8,Formulaire!$B$2*Data!AH16,IF(Formulaire!$B$2&lt;Data!$AI$8,Formulaire!$B$2*Data!AI16)))))))))</f>
        <v>24.72</v>
      </c>
      <c r="AC16" s="15">
        <v>24.72</v>
      </c>
      <c r="AD16" s="15">
        <v>22.35</v>
      </c>
      <c r="AE16" s="15">
        <v>20.22</v>
      </c>
      <c r="AF16" s="15">
        <v>20.22</v>
      </c>
      <c r="AG16" s="15">
        <v>10.63</v>
      </c>
      <c r="AH16" s="15">
        <v>9.57</v>
      </c>
      <c r="AI16" s="15">
        <v>8.5</v>
      </c>
      <c r="AJ16" s="13" t="str">
        <f t="shared" si="1"/>
        <v/>
      </c>
      <c r="AK16" s="13">
        <f t="shared" si="6"/>
        <v>24.72</v>
      </c>
      <c r="AL16" s="9">
        <f>IF(Formulaire!B$7&gt;$U16,(Formulaire!B$7-$U16)*$V16,0)</f>
        <v>0</v>
      </c>
      <c r="AM16" s="4">
        <f t="shared" si="2"/>
        <v>84.540439560439552</v>
      </c>
      <c r="AN16" s="4">
        <f>IF(Formulaire!$B$12=1,Options!$B$8,IF(Formulaire!$B$12=2,Options!$B$9,IF(Formulaire!$B$12=Options!$A$10,Options!$B$10,0)))</f>
        <v>0</v>
      </c>
      <c r="AO16" s="4">
        <f>IF(Formulaire!$B$13=Options!$A$14,Options!$B$14,IF(Formulaire!$B$13=Options!$A$15,Options!$B$15,IF(Formulaire!$B$13=Options!$A$16,Options!$B$16,IF(Formulaire!$B$13=Options!$A$17,Options!$B$17,0))))</f>
        <v>0</v>
      </c>
      <c r="AP16" s="4">
        <f>IF(Formulaire!$B$14="NON",0,IF(Formulaire!$B$15="NON",0,VLOOKUP(CONCATENATE(Formulaire!$B$14," ",Formulaire!$B$15),Options!$A$25:$B$33,2)))</f>
        <v>0</v>
      </c>
      <c r="AQ16" s="37">
        <f>IF($AJ16="x",$AM16+AL16+$AK16+$T16+$AN16+$AO16+$AP16+Options!$A$12,$AM16+AL16+$T16+$AN16+$AO16+$AP16+Options!$A$12)</f>
        <v>89.380439560439555</v>
      </c>
      <c r="AR16" s="37">
        <f t="shared" si="7"/>
        <v>7.4483699633699629</v>
      </c>
      <c r="AS16" s="38">
        <f t="shared" si="3"/>
        <v>111.72554945054944</v>
      </c>
      <c r="AT16" s="39">
        <f t="shared" si="9"/>
        <v>0</v>
      </c>
      <c r="AU16" s="49" t="str">
        <f t="shared" si="8"/>
        <v>0,00%</v>
      </c>
    </row>
    <row r="17" spans="1:47" x14ac:dyDescent="0.25">
      <c r="A17" s="24" t="s">
        <v>58</v>
      </c>
      <c r="B17" s="22">
        <v>20</v>
      </c>
      <c r="C17" s="20">
        <v>18</v>
      </c>
      <c r="D17" s="1" t="s">
        <v>0</v>
      </c>
      <c r="E17" s="7">
        <f t="shared" si="4"/>
        <v>101.04164835164833</v>
      </c>
      <c r="F17" s="7">
        <f>(IF(Formulaire!$B$2=Data!$H$8,Data!$H17,IF(Formulaire!$B$2&lt;=Data!$I$8,Data!$I17*Formulaire!B$2,IF(Formulaire!$B$2&lt;=Data!$J$8,Data!$J17*Formulaire!B$2,IF(Formulaire!$B$2=Data!$K$8,Data!$K17,IF(Formulaire!$B$2&lt;=Data!$L$8,(K17+(Data!$L17*(Formulaire!B$2-$K$8))),IF(Formulaire!$B$2=Data!$M$8,Data!$M17,IF(Formulaire!$B$2&lt;=Data!$N$8,(M17+(Data!$N17*(Formulaire!B$2-$M$8))),IF(Formulaire!$B$2=Data!$O$8,Data!$O17,IF(Formulaire!$B$2&lt;=Data!$P$8,(O17+(Data!$P17*(Formulaire!B$2-$O$8))),IF(Formulaire!$B$2="Sur demande","")))))))))))/0.91</f>
        <v>83.505494505494497</v>
      </c>
      <c r="G17" s="7"/>
      <c r="H17" s="4">
        <f>221.64/1.21</f>
        <v>183.17355371900825</v>
      </c>
      <c r="I17" s="56">
        <v>75.989999999999995</v>
      </c>
      <c r="J17" s="56">
        <v>73.67</v>
      </c>
      <c r="K17" s="56">
        <v>538.73</v>
      </c>
      <c r="L17" s="56">
        <v>58.8</v>
      </c>
      <c r="M17" s="56">
        <v>839.72</v>
      </c>
      <c r="N17" s="56">
        <v>55.42</v>
      </c>
      <c r="O17" s="56">
        <v>1197.8900000000001</v>
      </c>
      <c r="P17" s="56">
        <v>61.2</v>
      </c>
      <c r="Q17" s="7" t="str">
        <f t="shared" si="0"/>
        <v/>
      </c>
      <c r="R17" s="7">
        <f>IF(Formulaire!$B$8=Options!$A$4,Options!$B$4,IF(Formulaire!$B$8=Options!$A$5,Options!$B$5,Options!$B$3))</f>
        <v>0</v>
      </c>
      <c r="S17" s="4">
        <f>IF(Formulaire!$B$2="WE",Data!R17*3,IF(Formulaire!$B$2="Sur demande","",IF(Formulaire!$B$2&gt;=10,Data!R17*10,IF(Formulaire!$B$2&lt;10,Data!R17*Formulaire!$B$2))))</f>
        <v>0</v>
      </c>
      <c r="T17" s="6">
        <f t="shared" si="5"/>
        <v>0</v>
      </c>
      <c r="U17" s="12">
        <f>IF(Formulaire!$B$2=Data!$H$8,3*$U$6,IF(Formulaire!$B$2="Sur demande","",Formulaire!$B$2*$U$6))</f>
        <v>120</v>
      </c>
      <c r="V17" s="8">
        <v>0.31</v>
      </c>
      <c r="W17" s="8">
        <v>1500</v>
      </c>
      <c r="X17" s="16">
        <v>550</v>
      </c>
      <c r="Y17" s="18">
        <v>2750</v>
      </c>
      <c r="Z17" s="19">
        <v>2750</v>
      </c>
      <c r="AA17" s="15">
        <v>550</v>
      </c>
      <c r="AB17" s="15">
        <f>IF(Formulaire!$B$2="WE",Data!AC17*4,IF(Formulaire!$B$2="Sur demande","",IF(Formulaire!$B$2&lt;Data!$AC$8,Formulaire!$B$2*Data!AC17,IF(Formulaire!$B$2&lt;Data!$AD$8,Formulaire!$B$2*Data!AD17,IF(Formulaire!$B$2&lt;Data!$AE$8,Formulaire!$B$2*Data!AE17,IF(Formulaire!$B$2&lt;Data!$AF$8,Formulaire!$B$2*Data!AF17,IF(Formulaire!$B$2&lt;Data!$AG$8,Formulaire!$B$2*Data!AG17,IF(Formulaire!$B$2&lt;Data!$AH$8,Formulaire!$B$2*Data!AH17,IF(Formulaire!$B$2&lt;Data!$AI$8,Formulaire!$B$2*Data!AI17)))))))))</f>
        <v>29.87</v>
      </c>
      <c r="AC17" s="15">
        <v>29.87</v>
      </c>
      <c r="AD17" s="15">
        <v>26.99</v>
      </c>
      <c r="AE17" s="15">
        <v>24.39</v>
      </c>
      <c r="AF17" s="15">
        <v>24.39</v>
      </c>
      <c r="AG17" s="15">
        <v>12.71</v>
      </c>
      <c r="AH17" s="15">
        <v>11.44</v>
      </c>
      <c r="AI17" s="15">
        <v>10.17</v>
      </c>
      <c r="AJ17" s="13" t="str">
        <f t="shared" si="1"/>
        <v/>
      </c>
      <c r="AK17" s="13">
        <f t="shared" si="6"/>
        <v>29.87</v>
      </c>
      <c r="AL17" s="9">
        <f>IF(Formulaire!B$7&gt;$U17,(Formulaire!B$7-$U17)*$V17,0)</f>
        <v>0</v>
      </c>
      <c r="AM17" s="4">
        <f t="shared" si="2"/>
        <v>101.04164835164833</v>
      </c>
      <c r="AN17" s="4">
        <f>IF(Formulaire!$B$12=1,Options!$B$8,IF(Formulaire!$B$12=2,Options!$B$9,IF(Formulaire!$B$12=Options!$A$10,Options!$B$10,0)))</f>
        <v>0</v>
      </c>
      <c r="AO17" s="4">
        <f>IF(Formulaire!$B$13=Options!$A$14,Options!$B$14,IF(Formulaire!$B$13=Options!$A$15,Options!$B$15,IF(Formulaire!$B$13=Options!$A$16,Options!$B$16,IF(Formulaire!$B$13=Options!$A$17,Options!$B$17,0))))</f>
        <v>0</v>
      </c>
      <c r="AP17" s="4">
        <f>IF(Formulaire!$B$14="NON",0,IF(Formulaire!$B$15="NON",0,VLOOKUP(CONCATENATE(Formulaire!$B$14," ",Formulaire!$B$15),Options!$A$25:$B$33,2)))</f>
        <v>0</v>
      </c>
      <c r="AQ17" s="37">
        <f>IF($AJ17="x",$AM17+AL17+$AK17+$T17+$AN17+$AO17+$AP17+Options!$A$12,$AM17+AL17+$T17+$AN17+$AO17+$AP17+Options!$A$12)</f>
        <v>105.88164835164834</v>
      </c>
      <c r="AR17" s="37">
        <f t="shared" si="7"/>
        <v>5.8823137973137962</v>
      </c>
      <c r="AS17" s="38">
        <f t="shared" si="3"/>
        <v>117.64627594627592</v>
      </c>
      <c r="AT17" s="39">
        <f t="shared" si="9"/>
        <v>0</v>
      </c>
      <c r="AU17" s="49" t="str">
        <f t="shared" si="8"/>
        <v>0,00%</v>
      </c>
    </row>
    <row r="18" spans="1:47" x14ac:dyDescent="0.25">
      <c r="F18" s="7"/>
      <c r="G18" s="7"/>
    </row>
  </sheetData>
  <sheetProtection selectLockedCells="1" selectUnlockedCells="1"/>
  <mergeCells count="4">
    <mergeCell ref="A7:H7"/>
    <mergeCell ref="U7:V7"/>
    <mergeCell ref="W7:AK7"/>
    <mergeCell ref="Q7:T7"/>
  </mergeCells>
  <conditionalFormatting sqref="AS9:AS13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{6A1427CC-BF4B-4274-A37E-52B7BEAD784D}</x14:id>
        </ext>
      </extLst>
    </cfRule>
  </conditionalFormatting>
  <conditionalFormatting sqref="AQ9:AQ17">
    <cfRule type="dataBar" priority="7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{D2B661BF-7982-4EA7-95DB-38BEF3160F60}</x14:id>
        </ext>
      </extLst>
    </cfRule>
  </conditionalFormatting>
  <conditionalFormatting sqref="AR9:AR17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{7BE5D16C-BBA0-4D37-8653-BEF3E86D7D1F}</x14:id>
        </ext>
      </extLst>
    </cfRule>
  </conditionalFormatting>
  <conditionalFormatting sqref="AS14:AS17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{14456F2A-8366-4699-A5E2-2FDFE49E811F}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A1427CC-BF4B-4274-A37E-52B7BEAD784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AS9:AS13</xm:sqref>
        </x14:conditionalFormatting>
        <x14:conditionalFormatting xmlns:xm="http://schemas.microsoft.com/office/excel/2006/main">
          <x14:cfRule type="dataBar" id="{D2B661BF-7982-4EA7-95DB-38BEF3160F6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AQ9:AQ17</xm:sqref>
        </x14:conditionalFormatting>
        <x14:conditionalFormatting xmlns:xm="http://schemas.microsoft.com/office/excel/2006/main">
          <x14:cfRule type="dataBar" id="{7BE5D16C-BBA0-4D37-8653-BEF3E86D7D1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AR9:AR17</xm:sqref>
        </x14:conditionalFormatting>
        <x14:conditionalFormatting xmlns:xm="http://schemas.microsoft.com/office/excel/2006/main">
          <x14:cfRule type="dataBar" id="{14456F2A-8366-4699-A5E2-2FDFE49E811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AS14:AS17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workbookViewId="0">
      <selection activeCell="A70" sqref="A70"/>
    </sheetView>
  </sheetViews>
  <sheetFormatPr baseColWidth="10" defaultRowHeight="15" x14ac:dyDescent="0.25"/>
  <cols>
    <col min="1" max="1" width="22.7109375" style="40" bestFit="1" customWidth="1"/>
    <col min="2" max="2" width="11.42578125" style="10"/>
  </cols>
  <sheetData>
    <row r="2" spans="1:3" x14ac:dyDescent="0.25">
      <c r="A2" s="92" t="s">
        <v>27</v>
      </c>
      <c r="B2" s="92"/>
      <c r="C2" s="92"/>
    </row>
    <row r="3" spans="1:3" x14ac:dyDescent="0.25">
      <c r="A3" s="40" t="s">
        <v>28</v>
      </c>
      <c r="B3" s="10">
        <v>0</v>
      </c>
    </row>
    <row r="4" spans="1:3" x14ac:dyDescent="0.25">
      <c r="A4" s="40" t="s">
        <v>29</v>
      </c>
      <c r="B4" s="10">
        <f>12*1.21</f>
        <v>14.52</v>
      </c>
    </row>
    <row r="5" spans="1:3" x14ac:dyDescent="0.25">
      <c r="A5" s="40" t="s">
        <v>30</v>
      </c>
      <c r="B5" s="10">
        <f>15*1.21</f>
        <v>18.149999999999999</v>
      </c>
    </row>
    <row r="6" spans="1:3" x14ac:dyDescent="0.25">
      <c r="A6" s="92" t="s">
        <v>31</v>
      </c>
      <c r="B6" s="92"/>
      <c r="C6" s="92"/>
    </row>
    <row r="7" spans="1:3" x14ac:dyDescent="0.25">
      <c r="A7" s="23">
        <v>0</v>
      </c>
      <c r="B7" s="23">
        <v>0</v>
      </c>
      <c r="C7" s="23"/>
    </row>
    <row r="8" spans="1:3" x14ac:dyDescent="0.25">
      <c r="A8" s="40">
        <v>1</v>
      </c>
      <c r="B8" s="10">
        <f>31*1.21</f>
        <v>37.51</v>
      </c>
    </row>
    <row r="9" spans="1:3" x14ac:dyDescent="0.25">
      <c r="A9" s="40">
        <v>2</v>
      </c>
      <c r="B9" s="10">
        <f>A9*B8</f>
        <v>75.02</v>
      </c>
    </row>
    <row r="10" spans="1:3" x14ac:dyDescent="0.25">
      <c r="A10" s="40" t="s">
        <v>32</v>
      </c>
      <c r="B10" s="10">
        <f>77.5*1.21</f>
        <v>93.774999999999991</v>
      </c>
    </row>
    <row r="11" spans="1:3" x14ac:dyDescent="0.25">
      <c r="A11" s="40" t="s">
        <v>34</v>
      </c>
    </row>
    <row r="12" spans="1:3" x14ac:dyDescent="0.25">
      <c r="A12" s="40">
        <f>4*1.21</f>
        <v>4.84</v>
      </c>
    </row>
    <row r="13" spans="1:3" x14ac:dyDescent="0.25">
      <c r="A13" s="40" t="s">
        <v>35</v>
      </c>
    </row>
    <row r="14" spans="1:3" x14ac:dyDescent="0.25">
      <c r="A14" s="40" t="s">
        <v>26</v>
      </c>
      <c r="B14" s="10">
        <v>0</v>
      </c>
    </row>
    <row r="15" spans="1:3" x14ac:dyDescent="0.25">
      <c r="A15" s="40" t="s">
        <v>36</v>
      </c>
      <c r="B15" s="10">
        <f>25*1.21</f>
        <v>30.25</v>
      </c>
    </row>
    <row r="16" spans="1:3" x14ac:dyDescent="0.25">
      <c r="A16" s="40" t="s">
        <v>37</v>
      </c>
      <c r="B16" s="10">
        <f>B15</f>
        <v>30.25</v>
      </c>
    </row>
    <row r="17" spans="1:5" x14ac:dyDescent="0.25">
      <c r="A17" s="40" t="s">
        <v>43</v>
      </c>
      <c r="B17" s="10">
        <f>B15+B16</f>
        <v>60.5</v>
      </c>
    </row>
    <row r="18" spans="1:5" x14ac:dyDescent="0.25">
      <c r="A18" s="40" t="s">
        <v>38</v>
      </c>
    </row>
    <row r="19" spans="1:5" x14ac:dyDescent="0.25">
      <c r="B19" t="s">
        <v>26</v>
      </c>
      <c r="C19" s="10" t="s">
        <v>39</v>
      </c>
      <c r="D19" t="s">
        <v>40</v>
      </c>
      <c r="E19" t="s">
        <v>41</v>
      </c>
    </row>
    <row r="20" spans="1:5" x14ac:dyDescent="0.25">
      <c r="A20" s="40" t="s">
        <v>26</v>
      </c>
      <c r="B20" s="10">
        <v>0</v>
      </c>
      <c r="C20" s="10">
        <v>0</v>
      </c>
      <c r="D20" s="10">
        <v>0</v>
      </c>
      <c r="E20" s="10">
        <v>0</v>
      </c>
    </row>
    <row r="21" spans="1:5" x14ac:dyDescent="0.25">
      <c r="A21" s="40" t="s">
        <v>36</v>
      </c>
      <c r="B21" s="10">
        <v>0</v>
      </c>
      <c r="C21" s="10">
        <f>22*1.21</f>
        <v>26.619999999999997</v>
      </c>
      <c r="D21" s="10">
        <f>32*1.21</f>
        <v>38.72</v>
      </c>
      <c r="E21" s="10">
        <f>37*1.21</f>
        <v>44.769999999999996</v>
      </c>
    </row>
    <row r="22" spans="1:5" x14ac:dyDescent="0.25">
      <c r="A22" s="40" t="s">
        <v>37</v>
      </c>
      <c r="B22" s="10">
        <v>0</v>
      </c>
      <c r="C22" s="10">
        <f>22*1.21</f>
        <v>26.619999999999997</v>
      </c>
      <c r="D22" s="10">
        <f>32*1.21</f>
        <v>38.72</v>
      </c>
      <c r="E22" s="10">
        <f>37*1.21</f>
        <v>44.769999999999996</v>
      </c>
    </row>
    <row r="23" spans="1:5" x14ac:dyDescent="0.25">
      <c r="A23" s="40" t="s">
        <v>43</v>
      </c>
      <c r="B23" s="10">
        <v>0</v>
      </c>
      <c r="C23" s="10">
        <f>C21+C22</f>
        <v>53.239999999999995</v>
      </c>
      <c r="D23" s="10">
        <f t="shared" ref="D23:E23" si="0">D21+D22</f>
        <v>77.44</v>
      </c>
      <c r="E23" s="10">
        <f t="shared" si="0"/>
        <v>89.539999999999992</v>
      </c>
    </row>
    <row r="25" spans="1:5" x14ac:dyDescent="0.25">
      <c r="A25" s="40" t="str">
        <f>CONCATENATE(A21," ",C19)</f>
        <v>Aller &lt;9km</v>
      </c>
      <c r="B25" s="10">
        <f>C21</f>
        <v>26.619999999999997</v>
      </c>
    </row>
    <row r="26" spans="1:5" x14ac:dyDescent="0.25">
      <c r="A26" s="40" t="str">
        <f>CONCATENATE(A21," ",D19)</f>
        <v>Aller 10-19km</v>
      </c>
      <c r="B26" s="10">
        <f>D21</f>
        <v>38.72</v>
      </c>
    </row>
    <row r="27" spans="1:5" x14ac:dyDescent="0.25">
      <c r="A27" s="40" t="str">
        <f>CONCATENATE(A21," ",E19)</f>
        <v>Aller &gt;19km</v>
      </c>
      <c r="B27" s="10">
        <f>E21</f>
        <v>44.769999999999996</v>
      </c>
    </row>
    <row r="28" spans="1:5" x14ac:dyDescent="0.25">
      <c r="A28" s="40" t="str">
        <f>CONCATENATE(A22," ",C19)</f>
        <v>Retour &lt;9km</v>
      </c>
      <c r="B28" s="10">
        <f>C22</f>
        <v>26.619999999999997</v>
      </c>
    </row>
    <row r="29" spans="1:5" x14ac:dyDescent="0.25">
      <c r="A29" s="40" t="str">
        <f>CONCATENATE(A22," ",D19)</f>
        <v>Retour 10-19km</v>
      </c>
      <c r="B29" s="10">
        <f>D22</f>
        <v>38.72</v>
      </c>
    </row>
    <row r="30" spans="1:5" x14ac:dyDescent="0.25">
      <c r="A30" s="40" t="str">
        <f>CONCATENATE(A22," ",E19)</f>
        <v>Retour &gt;19km</v>
      </c>
      <c r="B30" s="10">
        <f>E22</f>
        <v>44.769999999999996</v>
      </c>
    </row>
    <row r="31" spans="1:5" x14ac:dyDescent="0.25">
      <c r="A31" s="40" t="str">
        <f>CONCATENATE(A23," ",C19)</f>
        <v>Aller+Retour &lt;9km</v>
      </c>
      <c r="B31" s="10">
        <f>C23</f>
        <v>53.239999999999995</v>
      </c>
    </row>
    <row r="32" spans="1:5" x14ac:dyDescent="0.25">
      <c r="A32" s="40" t="str">
        <f>CONCATENATE(A23," ",D19)</f>
        <v>Aller+Retour 10-19km</v>
      </c>
      <c r="B32" s="10">
        <f>D23</f>
        <v>77.44</v>
      </c>
    </row>
    <row r="33" spans="1:2" x14ac:dyDescent="0.25">
      <c r="A33" s="40" t="str">
        <f>CONCATENATE(A23," ",E19)</f>
        <v>Aller+Retour &gt;19km</v>
      </c>
      <c r="B33" s="10">
        <f>E23</f>
        <v>89.539999999999992</v>
      </c>
    </row>
    <row r="35" spans="1:2" x14ac:dyDescent="0.25">
      <c r="A35" s="40" t="s">
        <v>60</v>
      </c>
    </row>
    <row r="36" spans="1:2" x14ac:dyDescent="0.25">
      <c r="A36" s="40" t="s">
        <v>61</v>
      </c>
    </row>
    <row r="38" spans="1:2" x14ac:dyDescent="0.25">
      <c r="A38" s="40" t="s">
        <v>68</v>
      </c>
    </row>
    <row r="39" spans="1:2" x14ac:dyDescent="0.25">
      <c r="A39" s="40" t="s">
        <v>0</v>
      </c>
    </row>
    <row r="40" spans="1:2" x14ac:dyDescent="0.25">
      <c r="A40" s="40">
        <v>1</v>
      </c>
    </row>
    <row r="41" spans="1:2" x14ac:dyDescent="0.25">
      <c r="A41" s="40">
        <v>2</v>
      </c>
    </row>
    <row r="42" spans="1:2" x14ac:dyDescent="0.25">
      <c r="A42" s="40">
        <v>3</v>
      </c>
    </row>
    <row r="43" spans="1:2" x14ac:dyDescent="0.25">
      <c r="A43" s="40">
        <v>4</v>
      </c>
    </row>
    <row r="44" spans="1:2" x14ac:dyDescent="0.25">
      <c r="A44" s="40">
        <v>5</v>
      </c>
    </row>
    <row r="45" spans="1:2" x14ac:dyDescent="0.25">
      <c r="A45" s="40">
        <v>6</v>
      </c>
    </row>
    <row r="46" spans="1:2" x14ac:dyDescent="0.25">
      <c r="A46" s="40">
        <v>7</v>
      </c>
    </row>
    <row r="47" spans="1:2" x14ac:dyDescent="0.25">
      <c r="A47" s="40">
        <v>8</v>
      </c>
    </row>
    <row r="48" spans="1:2" x14ac:dyDescent="0.25">
      <c r="A48" s="40">
        <v>9</v>
      </c>
    </row>
    <row r="49" spans="1:1" x14ac:dyDescent="0.25">
      <c r="A49" s="40">
        <v>10</v>
      </c>
    </row>
    <row r="50" spans="1:1" x14ac:dyDescent="0.25">
      <c r="A50" s="40">
        <v>11</v>
      </c>
    </row>
    <row r="51" spans="1:1" x14ac:dyDescent="0.25">
      <c r="A51" s="40">
        <v>12</v>
      </c>
    </row>
    <row r="52" spans="1:1" x14ac:dyDescent="0.25">
      <c r="A52" s="40">
        <v>13</v>
      </c>
    </row>
    <row r="53" spans="1:1" x14ac:dyDescent="0.25">
      <c r="A53" s="40">
        <v>14</v>
      </c>
    </row>
    <row r="54" spans="1:1" x14ac:dyDescent="0.25">
      <c r="A54" s="40">
        <v>15</v>
      </c>
    </row>
    <row r="55" spans="1:1" x14ac:dyDescent="0.25">
      <c r="A55" s="40">
        <v>16</v>
      </c>
    </row>
    <row r="56" spans="1:1" x14ac:dyDescent="0.25">
      <c r="A56" s="40">
        <v>17</v>
      </c>
    </row>
    <row r="57" spans="1:1" x14ac:dyDescent="0.25">
      <c r="A57" s="40">
        <v>18</v>
      </c>
    </row>
    <row r="58" spans="1:1" x14ac:dyDescent="0.25">
      <c r="A58" s="40">
        <v>19</v>
      </c>
    </row>
    <row r="59" spans="1:1" x14ac:dyDescent="0.25">
      <c r="A59" s="40">
        <v>20</v>
      </c>
    </row>
    <row r="60" spans="1:1" x14ac:dyDescent="0.25">
      <c r="A60" s="40">
        <v>21</v>
      </c>
    </row>
    <row r="61" spans="1:1" x14ac:dyDescent="0.25">
      <c r="A61" s="40">
        <v>22</v>
      </c>
    </row>
    <row r="62" spans="1:1" x14ac:dyDescent="0.25">
      <c r="A62" s="40">
        <v>23</v>
      </c>
    </row>
    <row r="63" spans="1:1" x14ac:dyDescent="0.25">
      <c r="A63" s="40">
        <v>24</v>
      </c>
    </row>
    <row r="64" spans="1:1" x14ac:dyDescent="0.25">
      <c r="A64" s="40">
        <v>25</v>
      </c>
    </row>
    <row r="65" spans="1:1" x14ac:dyDescent="0.25">
      <c r="A65" s="40">
        <v>26</v>
      </c>
    </row>
    <row r="66" spans="1:1" x14ac:dyDescent="0.25">
      <c r="A66" s="40">
        <v>27</v>
      </c>
    </row>
    <row r="67" spans="1:1" x14ac:dyDescent="0.25">
      <c r="A67" s="40">
        <v>28</v>
      </c>
    </row>
    <row r="68" spans="1:1" x14ac:dyDescent="0.25">
      <c r="A68" s="40">
        <v>29</v>
      </c>
    </row>
    <row r="69" spans="1:1" x14ac:dyDescent="0.25">
      <c r="A69" s="40" t="s">
        <v>69</v>
      </c>
    </row>
  </sheetData>
  <sheetProtection selectLockedCells="1" selectUnlockedCells="1"/>
  <mergeCells count="2"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Formulaire</vt:lpstr>
      <vt:lpstr>Data</vt:lpstr>
      <vt:lpstr>Options</vt:lpstr>
      <vt:lpstr>Formulaire!Zone_d_impression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</dc:creator>
  <cp:lastModifiedBy>Fabrice</cp:lastModifiedBy>
  <cp:lastPrinted>2013-06-25T10:23:15Z</cp:lastPrinted>
  <dcterms:created xsi:type="dcterms:W3CDTF">2013-05-27T14:02:14Z</dcterms:created>
  <dcterms:modified xsi:type="dcterms:W3CDTF">2013-07-08T12:53:16Z</dcterms:modified>
  <cp:contentStatus/>
</cp:coreProperties>
</file>